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sktop\RFA-Final HO\"/>
    </mc:Choice>
  </mc:AlternateContent>
  <xr:revisionPtr revIDLastSave="0" documentId="13_ncr:1_{9E5A4FC9-1148-48F0-9471-F3EBB128C830}" xr6:coauthVersionLast="47" xr6:coauthVersionMax="47" xr10:uidLastSave="{00000000-0000-0000-0000-000000000000}"/>
  <bookViews>
    <workbookView xWindow="-110" yWindow="-110" windowWidth="19420" windowHeight="10420" tabRatio="625" xr2:uid="{00000000-000D-0000-FFFF-FFFF00000000}"/>
  </bookViews>
  <sheets>
    <sheet name="Summary Budget" sheetId="18" r:id="rId1"/>
    <sheet name="Details Budget -District-A" sheetId="20" r:id="rId2"/>
    <sheet name="Details Budget -District-B" sheetId="22" r:id="rId3"/>
    <sheet name="BNWLA_Modification 2" sheetId="11" state="hidden" r:id="rId4"/>
    <sheet name="BNWLA_Modification 1" sheetId="17" state="hidden" r:id="rId5"/>
    <sheet name="Fin Statement_BNWLA" sheetId="16" state="hidden" r:id="rId6"/>
    <sheet name="ATTACHMENT C-Fin Statement" sheetId="13" state="hidden" r:id="rId7"/>
    <sheet name="ATTACHMENT D- Adv Req Form " sheetId="14" state="hidden" r:id="rId8"/>
    <sheet name="Top sheet" sheetId="12" state="hidden" r:id="rId9"/>
    <sheet name="Fund Reconciliation" sheetId="15" state="hidden" r:id="rId10"/>
  </sheets>
  <externalReferences>
    <externalReference r:id="rId11"/>
  </externalReferences>
  <definedNames>
    <definedName name="_xlnm.Print_Area" localSheetId="6">'ATTACHMENT C-Fin Statement'!$A$1:$J$128</definedName>
    <definedName name="_xlnm.Print_Area" localSheetId="7">'ATTACHMENT D- Adv Req Form '!$A$1:$G$104</definedName>
    <definedName name="_xlnm.Print_Area" localSheetId="4">'BNWLA_Modification 1'!$A$1:$Q$96</definedName>
    <definedName name="_xlnm.Print_Area" localSheetId="3">'BNWLA_Modification 2'!$A$3:$Q$92</definedName>
    <definedName name="_xlnm.Print_Area" localSheetId="1">'Details Budget -District-A'!$A$1:$X$98</definedName>
    <definedName name="_xlnm.Print_Area" localSheetId="2">'Details Budget -District-B'!$A$1:$X$98</definedName>
    <definedName name="_xlnm.Print_Area" localSheetId="5">'Fin Statement_BNWLA'!$A$1:$I$128</definedName>
    <definedName name="_xlnm.Print_Titles" localSheetId="6">'ATTACHMENT C-Fin Statement'!$11:$11</definedName>
    <definedName name="_xlnm.Print_Titles" localSheetId="7">'ATTACHMENT D- Adv Req Form '!$11:$11</definedName>
    <definedName name="_xlnm.Print_Titles" localSheetId="4">'BNWLA_Modification 1'!$12:$12</definedName>
    <definedName name="_xlnm.Print_Titles" localSheetId="3">'BNWLA_Modification 2'!$11:$11</definedName>
    <definedName name="_xlnm.Print_Titles" localSheetId="1">'Details Budget -District-A'!$12:$12</definedName>
    <definedName name="_xlnm.Print_Titles" localSheetId="2">'Details Budget -District-B'!$12:$12</definedName>
    <definedName name="_xlnm.Print_Titles" localSheetId="5">'Fin Statement_BNWLA'!$11:$11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8" l="1"/>
  <c r="D20" i="18"/>
  <c r="B20" i="18"/>
  <c r="C13" i="18"/>
  <c r="D13" i="18"/>
  <c r="B13" i="18"/>
  <c r="D10" i="18"/>
  <c r="C10" i="18"/>
  <c r="B10" i="18"/>
  <c r="G38" i="20"/>
  <c r="A3" i="18"/>
  <c r="X97" i="22"/>
  <c r="S97" i="22"/>
  <c r="S96" i="22"/>
  <c r="X96" i="22" s="1"/>
  <c r="W95" i="22"/>
  <c r="S95" i="22"/>
  <c r="O95" i="22"/>
  <c r="K95" i="22"/>
  <c r="X95" i="22" s="1"/>
  <c r="G95" i="22"/>
  <c r="W94" i="22"/>
  <c r="S94" i="22"/>
  <c r="X94" i="22" s="1"/>
  <c r="O94" i="22"/>
  <c r="K94" i="22"/>
  <c r="G94" i="22"/>
  <c r="X93" i="22"/>
  <c r="W93" i="22"/>
  <c r="S93" i="22"/>
  <c r="O93" i="22"/>
  <c r="K93" i="22"/>
  <c r="G93" i="22"/>
  <c r="W92" i="22"/>
  <c r="S92" i="22"/>
  <c r="O92" i="22"/>
  <c r="K92" i="22"/>
  <c r="G92" i="22"/>
  <c r="X92" i="22" s="1"/>
  <c r="W91" i="22"/>
  <c r="S91" i="22"/>
  <c r="O91" i="22"/>
  <c r="K91" i="22"/>
  <c r="G91" i="22"/>
  <c r="W90" i="22"/>
  <c r="S90" i="22"/>
  <c r="O90" i="22"/>
  <c r="K90" i="22"/>
  <c r="G90" i="22"/>
  <c r="W89" i="22"/>
  <c r="S89" i="22"/>
  <c r="O89" i="22"/>
  <c r="O87" i="22" s="1"/>
  <c r="K89" i="22"/>
  <c r="G89" i="22"/>
  <c r="W88" i="22"/>
  <c r="S88" i="22"/>
  <c r="S87" i="22" s="1"/>
  <c r="O88" i="22"/>
  <c r="K88" i="22"/>
  <c r="K87" i="22" s="1"/>
  <c r="G88" i="22"/>
  <c r="W86" i="22"/>
  <c r="S86" i="22"/>
  <c r="O86" i="22"/>
  <c r="K86" i="22"/>
  <c r="G86" i="22"/>
  <c r="W85" i="22"/>
  <c r="S85" i="22"/>
  <c r="O85" i="22"/>
  <c r="K85" i="22"/>
  <c r="X85" i="22" s="1"/>
  <c r="G85" i="22"/>
  <c r="W84" i="22"/>
  <c r="S84" i="22"/>
  <c r="O84" i="22"/>
  <c r="K84" i="22"/>
  <c r="G84" i="22"/>
  <c r="W83" i="22"/>
  <c r="S83" i="22"/>
  <c r="O83" i="22"/>
  <c r="K83" i="22"/>
  <c r="G83" i="22"/>
  <c r="W82" i="22"/>
  <c r="S82" i="22"/>
  <c r="O82" i="22"/>
  <c r="K82" i="22"/>
  <c r="G82" i="22"/>
  <c r="W81" i="22"/>
  <c r="S81" i="22"/>
  <c r="O81" i="22"/>
  <c r="K81" i="22"/>
  <c r="G81" i="22"/>
  <c r="W80" i="22"/>
  <c r="S80" i="22"/>
  <c r="O80" i="22"/>
  <c r="K80" i="22"/>
  <c r="G80" i="22"/>
  <c r="W79" i="22"/>
  <c r="S79" i="22"/>
  <c r="O79" i="22"/>
  <c r="K79" i="22"/>
  <c r="X79" i="22" s="1"/>
  <c r="G79" i="22"/>
  <c r="W78" i="22"/>
  <c r="S78" i="22"/>
  <c r="O78" i="22"/>
  <c r="K78" i="22"/>
  <c r="G78" i="22"/>
  <c r="W77" i="22"/>
  <c r="S77" i="22"/>
  <c r="O77" i="22"/>
  <c r="K77" i="22"/>
  <c r="G77" i="22"/>
  <c r="W76" i="22"/>
  <c r="S76" i="22"/>
  <c r="O76" i="22"/>
  <c r="K76" i="22"/>
  <c r="G76" i="22"/>
  <c r="X76" i="22" s="1"/>
  <c r="W75" i="22"/>
  <c r="W74" i="22" s="1"/>
  <c r="S75" i="22"/>
  <c r="O75" i="22"/>
  <c r="K75" i="22"/>
  <c r="G75" i="22"/>
  <c r="G74" i="22" s="1"/>
  <c r="W73" i="22"/>
  <c r="S73" i="22"/>
  <c r="O73" i="22"/>
  <c r="K73" i="22"/>
  <c r="G73" i="22"/>
  <c r="W72" i="22"/>
  <c r="S72" i="22"/>
  <c r="O72" i="22"/>
  <c r="K72" i="22"/>
  <c r="G72" i="22"/>
  <c r="X72" i="22" s="1"/>
  <c r="W71" i="22"/>
  <c r="S71" i="22"/>
  <c r="O71" i="22"/>
  <c r="K71" i="22"/>
  <c r="G71" i="22"/>
  <c r="W70" i="22"/>
  <c r="S70" i="22"/>
  <c r="O70" i="22"/>
  <c r="K70" i="22"/>
  <c r="G70" i="22"/>
  <c r="W69" i="22"/>
  <c r="S69" i="22"/>
  <c r="O69" i="22"/>
  <c r="K69" i="22"/>
  <c r="G69" i="22"/>
  <c r="W68" i="22"/>
  <c r="S68" i="22"/>
  <c r="O68" i="22"/>
  <c r="K68" i="22"/>
  <c r="K66" i="22" s="1"/>
  <c r="G68" i="22"/>
  <c r="W67" i="22"/>
  <c r="S67" i="22"/>
  <c r="O67" i="22"/>
  <c r="K67" i="22"/>
  <c r="G67" i="22"/>
  <c r="W64" i="22"/>
  <c r="S64" i="22"/>
  <c r="O64" i="22"/>
  <c r="K64" i="22"/>
  <c r="G64" i="22"/>
  <c r="W63" i="22"/>
  <c r="S63" i="22"/>
  <c r="O63" i="22"/>
  <c r="K63" i="22"/>
  <c r="G63" i="22"/>
  <c r="W62" i="22"/>
  <c r="S62" i="22"/>
  <c r="O62" i="22"/>
  <c r="K62" i="22"/>
  <c r="G62" i="22"/>
  <c r="W61" i="22"/>
  <c r="S61" i="22"/>
  <c r="O61" i="22"/>
  <c r="O60" i="22" s="1"/>
  <c r="K61" i="22"/>
  <c r="G61" i="22"/>
  <c r="G60" i="22"/>
  <c r="W59" i="22"/>
  <c r="S59" i="22"/>
  <c r="O59" i="22"/>
  <c r="G59" i="22"/>
  <c r="W58" i="22"/>
  <c r="S58" i="22"/>
  <c r="O58" i="22"/>
  <c r="K58" i="22"/>
  <c r="G58" i="22"/>
  <c r="W57" i="22"/>
  <c r="S57" i="22"/>
  <c r="O57" i="22"/>
  <c r="K57" i="22"/>
  <c r="G57" i="22"/>
  <c r="W56" i="22"/>
  <c r="S56" i="22"/>
  <c r="O56" i="22"/>
  <c r="K56" i="22"/>
  <c r="G56" i="22"/>
  <c r="W55" i="22"/>
  <c r="S55" i="22"/>
  <c r="O55" i="22"/>
  <c r="K55" i="22"/>
  <c r="G55" i="22"/>
  <c r="W54" i="22"/>
  <c r="W50" i="22" s="1"/>
  <c r="S54" i="22"/>
  <c r="O54" i="22"/>
  <c r="K54" i="22"/>
  <c r="G54" i="22"/>
  <c r="W53" i="22"/>
  <c r="S53" i="22"/>
  <c r="O53" i="22"/>
  <c r="K53" i="22"/>
  <c r="G53" i="22"/>
  <c r="W52" i="22"/>
  <c r="S52" i="22"/>
  <c r="O52" i="22"/>
  <c r="K52" i="22"/>
  <c r="G52" i="22"/>
  <c r="W51" i="22"/>
  <c r="S51" i="22"/>
  <c r="O51" i="22"/>
  <c r="K51" i="22"/>
  <c r="G51" i="22"/>
  <c r="G50" i="22" s="1"/>
  <c r="W49" i="22"/>
  <c r="S49" i="22"/>
  <c r="O49" i="22"/>
  <c r="K49" i="22"/>
  <c r="G49" i="22"/>
  <c r="W48" i="22"/>
  <c r="S48" i="22"/>
  <c r="O48" i="22"/>
  <c r="K48" i="22"/>
  <c r="G48" i="22"/>
  <c r="W47" i="22"/>
  <c r="S47" i="22"/>
  <c r="O47" i="22"/>
  <c r="K47" i="22"/>
  <c r="G47" i="22"/>
  <c r="W46" i="22"/>
  <c r="S46" i="22"/>
  <c r="O46" i="22"/>
  <c r="K46" i="22"/>
  <c r="G46" i="22"/>
  <c r="W45" i="22"/>
  <c r="S45" i="22"/>
  <c r="O45" i="22"/>
  <c r="K45" i="22"/>
  <c r="G45" i="22"/>
  <c r="W44" i="22"/>
  <c r="S44" i="22"/>
  <c r="O44" i="22"/>
  <c r="K44" i="22"/>
  <c r="G44" i="22"/>
  <c r="W43" i="22"/>
  <c r="S43" i="22"/>
  <c r="O43" i="22"/>
  <c r="K43" i="22"/>
  <c r="G43" i="22"/>
  <c r="W42" i="22"/>
  <c r="S42" i="22"/>
  <c r="O42" i="22"/>
  <c r="K42" i="22"/>
  <c r="G42" i="22"/>
  <c r="W41" i="22"/>
  <c r="S41" i="22"/>
  <c r="S39" i="22" s="1"/>
  <c r="O41" i="22"/>
  <c r="K41" i="22"/>
  <c r="G41" i="22"/>
  <c r="W40" i="22"/>
  <c r="S40" i="22"/>
  <c r="O40" i="22"/>
  <c r="K40" i="22"/>
  <c r="G40" i="22"/>
  <c r="W36" i="22"/>
  <c r="S36" i="22"/>
  <c r="O36" i="22"/>
  <c r="K36" i="22"/>
  <c r="G36" i="22"/>
  <c r="W35" i="22"/>
  <c r="S35" i="22"/>
  <c r="O35" i="22"/>
  <c r="K35" i="22"/>
  <c r="G35" i="22"/>
  <c r="W34" i="22"/>
  <c r="S34" i="22"/>
  <c r="O34" i="22"/>
  <c r="K34" i="22"/>
  <c r="G34" i="22"/>
  <c r="W33" i="22"/>
  <c r="S33" i="22"/>
  <c r="O33" i="22"/>
  <c r="K33" i="22"/>
  <c r="G33" i="22"/>
  <c r="W32" i="22"/>
  <c r="S32" i="22"/>
  <c r="O32" i="22"/>
  <c r="K32" i="22"/>
  <c r="G32" i="22"/>
  <c r="W31" i="22"/>
  <c r="S31" i="22"/>
  <c r="O31" i="22"/>
  <c r="K31" i="22"/>
  <c r="G31" i="22"/>
  <c r="W30" i="22"/>
  <c r="W29" i="22" s="1"/>
  <c r="S30" i="22"/>
  <c r="O30" i="22"/>
  <c r="K30" i="22"/>
  <c r="G30" i="22"/>
  <c r="K29" i="22"/>
  <c r="W28" i="22"/>
  <c r="S28" i="22"/>
  <c r="O28" i="22"/>
  <c r="K28" i="22"/>
  <c r="G28" i="22"/>
  <c r="X28" i="22" s="1"/>
  <c r="W27" i="22"/>
  <c r="S27" i="22"/>
  <c r="O27" i="22"/>
  <c r="K27" i="22"/>
  <c r="G27" i="22"/>
  <c r="X27" i="22" s="1"/>
  <c r="W26" i="22"/>
  <c r="S26" i="22"/>
  <c r="O26" i="22"/>
  <c r="X26" i="22" s="1"/>
  <c r="K26" i="22"/>
  <c r="G26" i="22"/>
  <c r="W25" i="22"/>
  <c r="S25" i="22"/>
  <c r="O25" i="22"/>
  <c r="K25" i="22"/>
  <c r="G25" i="22"/>
  <c r="X25" i="22" s="1"/>
  <c r="W24" i="22"/>
  <c r="S24" i="22"/>
  <c r="O24" i="22"/>
  <c r="K24" i="22"/>
  <c r="G24" i="22"/>
  <c r="X24" i="22" s="1"/>
  <c r="W23" i="22"/>
  <c r="S23" i="22"/>
  <c r="O23" i="22"/>
  <c r="K23" i="22"/>
  <c r="G23" i="22"/>
  <c r="X23" i="22" s="1"/>
  <c r="W22" i="22"/>
  <c r="S22" i="22"/>
  <c r="O22" i="22"/>
  <c r="X22" i="22" s="1"/>
  <c r="K22" i="22"/>
  <c r="G22" i="22"/>
  <c r="W21" i="22"/>
  <c r="S21" i="22"/>
  <c r="O21" i="22"/>
  <c r="K21" i="22"/>
  <c r="G21" i="22"/>
  <c r="X21" i="22" s="1"/>
  <c r="W20" i="22"/>
  <c r="S20" i="22"/>
  <c r="O20" i="22"/>
  <c r="K20" i="22"/>
  <c r="G20" i="22"/>
  <c r="X20" i="22" s="1"/>
  <c r="W19" i="22"/>
  <c r="S19" i="22"/>
  <c r="O19" i="22"/>
  <c r="K19" i="22"/>
  <c r="G19" i="22"/>
  <c r="X19" i="22" s="1"/>
  <c r="W18" i="22"/>
  <c r="S18" i="22"/>
  <c r="O18" i="22"/>
  <c r="K18" i="22"/>
  <c r="G18" i="22"/>
  <c r="X18" i="22" s="1"/>
  <c r="W17" i="22"/>
  <c r="W16" i="22" s="1"/>
  <c r="S17" i="22"/>
  <c r="O17" i="22"/>
  <c r="O16" i="22" s="1"/>
  <c r="K17" i="22"/>
  <c r="K16" i="22" s="1"/>
  <c r="G17" i="22"/>
  <c r="G16" i="22" s="1"/>
  <c r="S89" i="20"/>
  <c r="S90" i="20"/>
  <c r="S91" i="20"/>
  <c r="S92" i="20"/>
  <c r="S93" i="20"/>
  <c r="S94" i="20"/>
  <c r="S95" i="20"/>
  <c r="S88" i="20"/>
  <c r="O89" i="20"/>
  <c r="O90" i="20"/>
  <c r="O91" i="20"/>
  <c r="O92" i="20"/>
  <c r="O93" i="20"/>
  <c r="O94" i="20"/>
  <c r="O95" i="20"/>
  <c r="O88" i="20"/>
  <c r="S76" i="20"/>
  <c r="S77" i="20"/>
  <c r="S78" i="20"/>
  <c r="S79" i="20"/>
  <c r="S80" i="20"/>
  <c r="S81" i="20"/>
  <c r="S82" i="20"/>
  <c r="S83" i="20"/>
  <c r="S84" i="20"/>
  <c r="S85" i="20"/>
  <c r="S86" i="20"/>
  <c r="S75" i="20"/>
  <c r="O76" i="20"/>
  <c r="O77" i="20"/>
  <c r="O78" i="20"/>
  <c r="O79" i="20"/>
  <c r="O80" i="20"/>
  <c r="O81" i="20"/>
  <c r="O82" i="20"/>
  <c r="O83" i="20"/>
  <c r="O84" i="20"/>
  <c r="O85" i="20"/>
  <c r="O86" i="20"/>
  <c r="O75" i="20"/>
  <c r="S68" i="20"/>
  <c r="S69" i="20"/>
  <c r="S70" i="20"/>
  <c r="S71" i="20"/>
  <c r="S72" i="20"/>
  <c r="S73" i="20"/>
  <c r="S67" i="20"/>
  <c r="O68" i="20"/>
  <c r="O69" i="20"/>
  <c r="O70" i="20"/>
  <c r="O71" i="20"/>
  <c r="O72" i="20"/>
  <c r="O73" i="20"/>
  <c r="O67" i="20"/>
  <c r="S62" i="20"/>
  <c r="S63" i="20"/>
  <c r="S64" i="20"/>
  <c r="S61" i="20"/>
  <c r="O62" i="20"/>
  <c r="O63" i="20"/>
  <c r="O64" i="20"/>
  <c r="O61" i="20"/>
  <c r="S52" i="20"/>
  <c r="S53" i="20"/>
  <c r="S54" i="20"/>
  <c r="S55" i="20"/>
  <c r="S56" i="20"/>
  <c r="S57" i="20"/>
  <c r="S58" i="20"/>
  <c r="S59" i="20"/>
  <c r="S51" i="20"/>
  <c r="O52" i="20"/>
  <c r="O53" i="20"/>
  <c r="O54" i="20"/>
  <c r="O55" i="20"/>
  <c r="O56" i="20"/>
  <c r="O57" i="20"/>
  <c r="O58" i="20"/>
  <c r="O59" i="20"/>
  <c r="O51" i="20"/>
  <c r="S41" i="20"/>
  <c r="S42" i="20"/>
  <c r="S43" i="20"/>
  <c r="S44" i="20"/>
  <c r="S45" i="20"/>
  <c r="S46" i="20"/>
  <c r="S47" i="20"/>
  <c r="S48" i="20"/>
  <c r="S49" i="20"/>
  <c r="S40" i="20"/>
  <c r="O41" i="20"/>
  <c r="O42" i="20"/>
  <c r="O43" i="20"/>
  <c r="O44" i="20"/>
  <c r="O45" i="20"/>
  <c r="O46" i="20"/>
  <c r="O47" i="20"/>
  <c r="O48" i="20"/>
  <c r="O49" i="20"/>
  <c r="O40" i="20"/>
  <c r="S31" i="20"/>
  <c r="S32" i="20"/>
  <c r="S33" i="20"/>
  <c r="S34" i="20"/>
  <c r="S35" i="20"/>
  <c r="S36" i="20"/>
  <c r="S30" i="20"/>
  <c r="O31" i="20"/>
  <c r="O32" i="20"/>
  <c r="O33" i="20"/>
  <c r="O34" i="20"/>
  <c r="O35" i="20"/>
  <c r="O36" i="20"/>
  <c r="O30" i="20"/>
  <c r="S18" i="20"/>
  <c r="S19" i="20"/>
  <c r="S20" i="20"/>
  <c r="S21" i="20"/>
  <c r="S22" i="20"/>
  <c r="S23" i="20"/>
  <c r="S24" i="20"/>
  <c r="S25" i="20"/>
  <c r="S26" i="20"/>
  <c r="S27" i="20"/>
  <c r="S28" i="20"/>
  <c r="S17" i="20"/>
  <c r="O18" i="20"/>
  <c r="O19" i="20"/>
  <c r="O20" i="20"/>
  <c r="O21" i="20"/>
  <c r="O22" i="20"/>
  <c r="O23" i="20"/>
  <c r="O24" i="20"/>
  <c r="O25" i="20"/>
  <c r="O26" i="20"/>
  <c r="O27" i="20"/>
  <c r="O28" i="20"/>
  <c r="O17" i="20"/>
  <c r="W31" i="20"/>
  <c r="K31" i="20"/>
  <c r="G31" i="20"/>
  <c r="A16" i="18"/>
  <c r="A15" i="18"/>
  <c r="A14" i="18"/>
  <c r="A12" i="18"/>
  <c r="A11" i="18"/>
  <c r="K21" i="20"/>
  <c r="G21" i="20"/>
  <c r="K17" i="20"/>
  <c r="W89" i="20"/>
  <c r="W90" i="20"/>
  <c r="W91" i="20"/>
  <c r="W92" i="20"/>
  <c r="W93" i="20"/>
  <c r="W94" i="20"/>
  <c r="W95" i="20"/>
  <c r="W88" i="20"/>
  <c r="W76" i="20"/>
  <c r="W77" i="20"/>
  <c r="W78" i="20"/>
  <c r="W79" i="20"/>
  <c r="W80" i="20"/>
  <c r="W81" i="20"/>
  <c r="W82" i="20"/>
  <c r="W83" i="20"/>
  <c r="W84" i="20"/>
  <c r="W85" i="20"/>
  <c r="W86" i="20"/>
  <c r="W75" i="20"/>
  <c r="W68" i="20"/>
  <c r="W69" i="20"/>
  <c r="W70" i="20"/>
  <c r="W71" i="20"/>
  <c r="W72" i="20"/>
  <c r="W73" i="20"/>
  <c r="W67" i="20"/>
  <c r="W61" i="20"/>
  <c r="W62" i="20"/>
  <c r="W63" i="20"/>
  <c r="W64" i="20"/>
  <c r="W52" i="20"/>
  <c r="W53" i="20"/>
  <c r="W54" i="20"/>
  <c r="W55" i="20"/>
  <c r="W56" i="20"/>
  <c r="W57" i="20"/>
  <c r="W58" i="20"/>
  <c r="W59" i="20"/>
  <c r="W51" i="20"/>
  <c r="W41" i="20"/>
  <c r="W42" i="20"/>
  <c r="W43" i="20"/>
  <c r="W44" i="20"/>
  <c r="W45" i="20"/>
  <c r="W46" i="20"/>
  <c r="W47" i="20"/>
  <c r="W48" i="20"/>
  <c r="W49" i="20"/>
  <c r="W40" i="20"/>
  <c r="W32" i="20"/>
  <c r="W33" i="20"/>
  <c r="W34" i="20"/>
  <c r="W35" i="20"/>
  <c r="W36" i="20"/>
  <c r="W30" i="20"/>
  <c r="W21" i="20"/>
  <c r="W28" i="20"/>
  <c r="W27" i="20"/>
  <c r="W26" i="20"/>
  <c r="W25" i="20"/>
  <c r="W24" i="20"/>
  <c r="W23" i="20"/>
  <c r="W22" i="20"/>
  <c r="W20" i="20"/>
  <c r="W19" i="20"/>
  <c r="W18" i="20"/>
  <c r="W17" i="20"/>
  <c r="K41" i="20"/>
  <c r="K42" i="20"/>
  <c r="K43" i="20"/>
  <c r="K44" i="20"/>
  <c r="K45" i="20"/>
  <c r="W87" i="22" l="1"/>
  <c r="X90" i="22"/>
  <c r="X89" i="22"/>
  <c r="X88" i="22"/>
  <c r="X91" i="22"/>
  <c r="X75" i="22"/>
  <c r="X86" i="22"/>
  <c r="S74" i="22"/>
  <c r="S38" i="22" s="1"/>
  <c r="X81" i="22"/>
  <c r="O74" i="22"/>
  <c r="X77" i="22"/>
  <c r="X80" i="22"/>
  <c r="X84" i="22"/>
  <c r="X78" i="22"/>
  <c r="X83" i="22"/>
  <c r="X82" i="22"/>
  <c r="X73" i="22"/>
  <c r="W66" i="22"/>
  <c r="S66" i="22"/>
  <c r="X70" i="22"/>
  <c r="X69" i="22"/>
  <c r="O66" i="22"/>
  <c r="X68" i="22"/>
  <c r="X67" i="22"/>
  <c r="X66" i="22" s="1"/>
  <c r="C17" i="18" s="1"/>
  <c r="X71" i="22"/>
  <c r="W60" i="22"/>
  <c r="S60" i="22"/>
  <c r="X63" i="22"/>
  <c r="X62" i="22"/>
  <c r="X61" i="22"/>
  <c r="X64" i="22"/>
  <c r="X54" i="22"/>
  <c r="X55" i="22"/>
  <c r="S50" i="22"/>
  <c r="X58" i="22"/>
  <c r="O50" i="22"/>
  <c r="X52" i="22"/>
  <c r="K50" i="22"/>
  <c r="X57" i="22"/>
  <c r="X59" i="22"/>
  <c r="X53" i="22"/>
  <c r="X50" i="22" s="1"/>
  <c r="C15" i="18" s="1"/>
  <c r="X51" i="22"/>
  <c r="X56" i="22"/>
  <c r="W39" i="22"/>
  <c r="X48" i="22"/>
  <c r="X42" i="22"/>
  <c r="X46" i="22"/>
  <c r="X44" i="22"/>
  <c r="O39" i="22"/>
  <c r="X43" i="22"/>
  <c r="X47" i="22"/>
  <c r="X41" i="22"/>
  <c r="X49" i="22"/>
  <c r="X40" i="22"/>
  <c r="K39" i="22"/>
  <c r="X45" i="22"/>
  <c r="W15" i="22"/>
  <c r="S29" i="22"/>
  <c r="O29" i="22"/>
  <c r="O15" i="22" s="1"/>
  <c r="X36" i="22"/>
  <c r="X33" i="22"/>
  <c r="X35" i="22"/>
  <c r="X32" i="22"/>
  <c r="K15" i="22"/>
  <c r="X34" i="22"/>
  <c r="G15" i="22"/>
  <c r="G29" i="22"/>
  <c r="S16" i="22"/>
  <c r="S15" i="22" s="1"/>
  <c r="W74" i="20"/>
  <c r="W66" i="20"/>
  <c r="X31" i="22"/>
  <c r="X30" i="22"/>
  <c r="G66" i="22"/>
  <c r="G87" i="22"/>
  <c r="K60" i="22"/>
  <c r="K74" i="22"/>
  <c r="G39" i="22"/>
  <c r="X17" i="22"/>
  <c r="X16" i="22" s="1"/>
  <c r="C11" i="18" s="1"/>
  <c r="W87" i="20"/>
  <c r="W60" i="20"/>
  <c r="X31" i="20"/>
  <c r="W29" i="20"/>
  <c r="W39" i="20"/>
  <c r="W50" i="20"/>
  <c r="X21" i="20"/>
  <c r="W16" i="20"/>
  <c r="X87" i="22" l="1"/>
  <c r="C19" i="18" s="1"/>
  <c r="X74" i="22"/>
  <c r="C18" i="18" s="1"/>
  <c r="O38" i="22"/>
  <c r="O98" i="22" s="1"/>
  <c r="K38" i="22"/>
  <c r="K98" i="22" s="1"/>
  <c r="W38" i="22"/>
  <c r="X60" i="22"/>
  <c r="C16" i="18" s="1"/>
  <c r="X39" i="22"/>
  <c r="C14" i="18" s="1"/>
  <c r="X29" i="22"/>
  <c r="C12" i="18" s="1"/>
  <c r="S98" i="22"/>
  <c r="W38" i="20"/>
  <c r="G38" i="22"/>
  <c r="G98" i="22" s="1"/>
  <c r="W15" i="20"/>
  <c r="G41" i="20"/>
  <c r="X41" i="20" s="1"/>
  <c r="G42" i="20"/>
  <c r="X42" i="20" s="1"/>
  <c r="G43" i="20"/>
  <c r="X43" i="20" s="1"/>
  <c r="G44" i="20"/>
  <c r="X44" i="20" s="1"/>
  <c r="K95" i="20"/>
  <c r="K94" i="20"/>
  <c r="K93" i="20"/>
  <c r="K92" i="20"/>
  <c r="K91" i="20"/>
  <c r="K90" i="20"/>
  <c r="K89" i="20"/>
  <c r="K88" i="20"/>
  <c r="G89" i="20"/>
  <c r="X89" i="20" s="1"/>
  <c r="G90" i="20"/>
  <c r="X90" i="20" s="1"/>
  <c r="G91" i="20"/>
  <c r="G92" i="20"/>
  <c r="G93" i="20"/>
  <c r="G94" i="20"/>
  <c r="G95" i="20"/>
  <c r="G88" i="20"/>
  <c r="X88" i="20" s="1"/>
  <c r="K76" i="20"/>
  <c r="K75" i="20"/>
  <c r="K84" i="20"/>
  <c r="K85" i="20"/>
  <c r="K86" i="20"/>
  <c r="K77" i="20"/>
  <c r="K78" i="20"/>
  <c r="K79" i="20"/>
  <c r="K80" i="20"/>
  <c r="K81" i="20"/>
  <c r="K82" i="20"/>
  <c r="K83" i="20"/>
  <c r="G76" i="20"/>
  <c r="G77" i="20"/>
  <c r="X77" i="20" s="1"/>
  <c r="G78" i="20"/>
  <c r="G79" i="20"/>
  <c r="G80" i="20"/>
  <c r="X80" i="20" s="1"/>
  <c r="G81" i="20"/>
  <c r="X81" i="20" s="1"/>
  <c r="G82" i="20"/>
  <c r="X82" i="20" s="1"/>
  <c r="G83" i="20"/>
  <c r="X83" i="20" s="1"/>
  <c r="G84" i="20"/>
  <c r="G85" i="20"/>
  <c r="G86" i="20"/>
  <c r="G75" i="20"/>
  <c r="K68" i="20"/>
  <c r="K69" i="20"/>
  <c r="K70" i="20"/>
  <c r="K71" i="20"/>
  <c r="K72" i="20"/>
  <c r="K73" i="20"/>
  <c r="K67" i="20"/>
  <c r="G68" i="20"/>
  <c r="G69" i="20"/>
  <c r="G70" i="20"/>
  <c r="G71" i="20"/>
  <c r="G72" i="20"/>
  <c r="G73" i="20"/>
  <c r="G67" i="20"/>
  <c r="K62" i="20"/>
  <c r="K63" i="20"/>
  <c r="K64" i="20"/>
  <c r="K61" i="20"/>
  <c r="G61" i="20"/>
  <c r="G62" i="20"/>
  <c r="G63" i="20"/>
  <c r="G64" i="20"/>
  <c r="K52" i="20"/>
  <c r="K53" i="20"/>
  <c r="K54" i="20"/>
  <c r="K55" i="20"/>
  <c r="K56" i="20"/>
  <c r="K57" i="20"/>
  <c r="K58" i="20"/>
  <c r="K51" i="20"/>
  <c r="G52" i="20"/>
  <c r="G53" i="20"/>
  <c r="G54" i="20"/>
  <c r="G55" i="20"/>
  <c r="G56" i="20"/>
  <c r="X56" i="20" s="1"/>
  <c r="G57" i="20"/>
  <c r="X57" i="20" s="1"/>
  <c r="G58" i="20"/>
  <c r="X58" i="20" s="1"/>
  <c r="G59" i="20"/>
  <c r="G51" i="20"/>
  <c r="K46" i="20"/>
  <c r="K47" i="20"/>
  <c r="K48" i="20"/>
  <c r="K49" i="20"/>
  <c r="K40" i="20"/>
  <c r="G45" i="20"/>
  <c r="G46" i="20"/>
  <c r="G47" i="20"/>
  <c r="G48" i="20"/>
  <c r="G49" i="20"/>
  <c r="G40" i="20"/>
  <c r="K32" i="20"/>
  <c r="K33" i="20"/>
  <c r="K34" i="20"/>
  <c r="K35" i="20"/>
  <c r="K36" i="20"/>
  <c r="K30" i="20"/>
  <c r="G32" i="20"/>
  <c r="G33" i="20"/>
  <c r="G34" i="20"/>
  <c r="G35" i="20"/>
  <c r="G36" i="20"/>
  <c r="G30" i="20"/>
  <c r="G17" i="20"/>
  <c r="X38" i="22" l="1"/>
  <c r="X15" i="22"/>
  <c r="X49" i="20"/>
  <c r="X67" i="20"/>
  <c r="X91" i="20"/>
  <c r="X68" i="20"/>
  <c r="X92" i="20"/>
  <c r="X63" i="20"/>
  <c r="X55" i="20"/>
  <c r="X62" i="20"/>
  <c r="X71" i="20"/>
  <c r="X48" i="20"/>
  <c r="X54" i="20"/>
  <c r="X70" i="20"/>
  <c r="X75" i="20"/>
  <c r="X79" i="20"/>
  <c r="X53" i="20"/>
  <c r="X64" i="20"/>
  <c r="X69" i="20"/>
  <c r="X86" i="20"/>
  <c r="X78" i="20"/>
  <c r="X95" i="20"/>
  <c r="X51" i="20"/>
  <c r="X52" i="20"/>
  <c r="X73" i="20"/>
  <c r="X85" i="20"/>
  <c r="X94" i="20"/>
  <c r="X72" i="20"/>
  <c r="X84" i="20"/>
  <c r="X76" i="20"/>
  <c r="X93" i="20"/>
  <c r="O66" i="20"/>
  <c r="O39" i="20"/>
  <c r="K66" i="20"/>
  <c r="G87" i="20"/>
  <c r="K87" i="20"/>
  <c r="O87" i="20"/>
  <c r="O74" i="20"/>
  <c r="S74" i="20"/>
  <c r="K74" i="20"/>
  <c r="S66" i="20"/>
  <c r="G66" i="20"/>
  <c r="G74" i="20"/>
  <c r="X59" i="20"/>
  <c r="K60" i="20"/>
  <c r="O50" i="20"/>
  <c r="G50" i="20"/>
  <c r="O60" i="20"/>
  <c r="K50" i="20"/>
  <c r="G60" i="20"/>
  <c r="S50" i="20"/>
  <c r="G29" i="20"/>
  <c r="G39" i="20"/>
  <c r="K39" i="20"/>
  <c r="K29" i="20"/>
  <c r="X98" i="22" l="1"/>
  <c r="K38" i="20"/>
  <c r="O38" i="20"/>
  <c r="X50" i="20"/>
  <c r="X66" i="20"/>
  <c r="X74" i="20"/>
  <c r="B17" i="18" l="1"/>
  <c r="D17" i="18" s="1"/>
  <c r="B15" i="18"/>
  <c r="D15" i="18" s="1"/>
  <c r="B18" i="18"/>
  <c r="D18" i="18" s="1"/>
  <c r="A2" i="18"/>
  <c r="X32" i="20"/>
  <c r="K22" i="20"/>
  <c r="K23" i="20"/>
  <c r="K24" i="20"/>
  <c r="K25" i="20"/>
  <c r="K26" i="20"/>
  <c r="K27" i="20"/>
  <c r="K28" i="20"/>
  <c r="G22" i="20"/>
  <c r="G23" i="20"/>
  <c r="G24" i="20"/>
  <c r="G25" i="20"/>
  <c r="G26" i="20"/>
  <c r="G27" i="20"/>
  <c r="G28" i="20"/>
  <c r="X17" i="20"/>
  <c r="K20" i="20"/>
  <c r="K19" i="20"/>
  <c r="K18" i="20"/>
  <c r="G18" i="20"/>
  <c r="G19" i="20"/>
  <c r="G20" i="20"/>
  <c r="X26" i="20" l="1"/>
  <c r="X25" i="20"/>
  <c r="X24" i="20"/>
  <c r="X22" i="20"/>
  <c r="X28" i="20"/>
  <c r="X23" i="20"/>
  <c r="X27" i="20"/>
  <c r="X18" i="20"/>
  <c r="G16" i="20"/>
  <c r="G15" i="20" s="1"/>
  <c r="O29" i="20"/>
  <c r="O16" i="20"/>
  <c r="K16" i="20"/>
  <c r="O15" i="20" l="1"/>
  <c r="O98" i="20" s="1"/>
  <c r="K15" i="20"/>
  <c r="K98" i="20" s="1"/>
  <c r="S97" i="20" l="1"/>
  <c r="X97" i="20" s="1"/>
  <c r="S96" i="20"/>
  <c r="X61" i="20"/>
  <c r="X60" i="20" s="1"/>
  <c r="B16" i="18" s="1"/>
  <c r="D16" i="18" s="1"/>
  <c r="X47" i="20"/>
  <c r="X46" i="20"/>
  <c r="X45" i="20"/>
  <c r="X40" i="20"/>
  <c r="X36" i="20"/>
  <c r="X35" i="20"/>
  <c r="X34" i="20"/>
  <c r="X33" i="20"/>
  <c r="X30" i="20"/>
  <c r="X20" i="20"/>
  <c r="X19" i="20"/>
  <c r="G98" i="20" l="1"/>
  <c r="X39" i="20"/>
  <c r="X96" i="20"/>
  <c r="X87" i="20" s="1"/>
  <c r="B19" i="18" s="1"/>
  <c r="D19" i="18" s="1"/>
  <c r="S87" i="20"/>
  <c r="S60" i="20"/>
  <c r="S39" i="20"/>
  <c r="S29" i="20"/>
  <c r="X29" i="20"/>
  <c r="B12" i="18" s="1"/>
  <c r="D12" i="18" s="1"/>
  <c r="X16" i="20"/>
  <c r="B11" i="18" s="1"/>
  <c r="D11" i="18" s="1"/>
  <c r="S16" i="20"/>
  <c r="B14" i="18" l="1"/>
  <c r="D14" i="18" s="1"/>
  <c r="X38" i="20"/>
  <c r="S38" i="20"/>
  <c r="X15" i="20"/>
  <c r="S15" i="20"/>
  <c r="S98" i="20" l="1"/>
  <c r="X98" i="20"/>
  <c r="F60" i="11"/>
  <c r="D60" i="11"/>
  <c r="O68" i="11" l="1"/>
  <c r="N68" i="11"/>
  <c r="K68" i="11"/>
  <c r="P68" i="11" l="1"/>
  <c r="N77" i="11"/>
  <c r="N67" i="11"/>
  <c r="N89" i="11" l="1"/>
  <c r="K89" i="11"/>
  <c r="F89" i="11"/>
  <c r="D89" i="11"/>
  <c r="F87" i="11"/>
  <c r="F80" i="11"/>
  <c r="D80" i="11"/>
  <c r="F70" i="11"/>
  <c r="D70" i="11"/>
  <c r="D56" i="11"/>
  <c r="F51" i="11"/>
  <c r="D51" i="11"/>
  <c r="F47" i="11"/>
  <c r="F39" i="11"/>
  <c r="D39" i="11"/>
  <c r="F31" i="11"/>
  <c r="D31" i="11"/>
  <c r="D28" i="11"/>
  <c r="F20" i="11"/>
  <c r="D20" i="11"/>
  <c r="F13" i="11"/>
  <c r="D13" i="11"/>
  <c r="O32" i="11" l="1"/>
  <c r="J14" i="11"/>
  <c r="N52" i="11" l="1"/>
  <c r="E44" i="11"/>
  <c r="K26" i="11"/>
  <c r="O26" i="11"/>
  <c r="K15" i="11"/>
  <c r="O15" i="11"/>
  <c r="N85" i="11"/>
  <c r="O83" i="11"/>
  <c r="N83" i="11"/>
  <c r="K83" i="11"/>
  <c r="P83" i="11" l="1"/>
  <c r="N26" i="11"/>
  <c r="P26" i="11" s="1"/>
  <c r="M15" i="11"/>
  <c r="N15" i="11" s="1"/>
  <c r="P15" i="11" s="1"/>
  <c r="O55" i="11"/>
  <c r="N55" i="11"/>
  <c r="K55" i="11"/>
  <c r="O90" i="11"/>
  <c r="O88" i="11"/>
  <c r="P55" i="11" l="1"/>
  <c r="F27" i="15" l="1"/>
  <c r="F24" i="15"/>
  <c r="F17" i="15"/>
  <c r="F10" i="12"/>
  <c r="E10" i="12"/>
  <c r="D10" i="12"/>
  <c r="D9" i="12"/>
  <c r="E9" i="12" s="1"/>
  <c r="D8" i="12"/>
  <c r="E8" i="12" s="1"/>
  <c r="D7" i="12"/>
  <c r="E7" i="12" s="1"/>
  <c r="F6" i="12"/>
  <c r="E6" i="12"/>
  <c r="D6" i="12"/>
  <c r="F4" i="12"/>
  <c r="F11" i="12" s="1"/>
  <c r="E4" i="12"/>
  <c r="E11" i="12" s="1"/>
  <c r="D4" i="12"/>
  <c r="D11" i="12" s="1"/>
  <c r="F89" i="14"/>
  <c r="E89" i="14"/>
  <c r="D89" i="14"/>
  <c r="F86" i="14"/>
  <c r="E86" i="14"/>
  <c r="D86" i="14"/>
  <c r="F85" i="14"/>
  <c r="F84" i="14"/>
  <c r="E84" i="14"/>
  <c r="F82" i="14"/>
  <c r="F81" i="14"/>
  <c r="F80" i="14"/>
  <c r="F79" i="14"/>
  <c r="F78" i="14"/>
  <c r="E78" i="14"/>
  <c r="D78" i="14"/>
  <c r="F76" i="14"/>
  <c r="F75" i="14"/>
  <c r="F74" i="14"/>
  <c r="F73" i="14"/>
  <c r="F72" i="14"/>
  <c r="F71" i="14"/>
  <c r="F70" i="14"/>
  <c r="F69" i="14"/>
  <c r="E69" i="14"/>
  <c r="D69" i="14"/>
  <c r="F67" i="14"/>
  <c r="F66" i="14"/>
  <c r="F65" i="14"/>
  <c r="F64" i="14"/>
  <c r="F63" i="14"/>
  <c r="F62" i="14"/>
  <c r="F61" i="14"/>
  <c r="F60" i="14"/>
  <c r="F59" i="14"/>
  <c r="E59" i="14"/>
  <c r="D59" i="14"/>
  <c r="F55" i="14"/>
  <c r="F54" i="14"/>
  <c r="E54" i="14"/>
  <c r="D54" i="14"/>
  <c r="F52" i="14"/>
  <c r="F51" i="14"/>
  <c r="F50" i="14"/>
  <c r="F49" i="14"/>
  <c r="E49" i="14"/>
  <c r="D49" i="14"/>
  <c r="F47" i="14"/>
  <c r="F46" i="14"/>
  <c r="F45" i="14"/>
  <c r="E45" i="14"/>
  <c r="D45" i="14"/>
  <c r="F43" i="14"/>
  <c r="F42" i="14"/>
  <c r="F41" i="14"/>
  <c r="F40" i="14"/>
  <c r="F39" i="14"/>
  <c r="F38" i="14"/>
  <c r="F37" i="14"/>
  <c r="E37" i="14"/>
  <c r="D37" i="14"/>
  <c r="F35" i="14"/>
  <c r="F34" i="14"/>
  <c r="F33" i="14"/>
  <c r="F32" i="14"/>
  <c r="F31" i="14"/>
  <c r="F30" i="14"/>
  <c r="E30" i="14"/>
  <c r="D30" i="14"/>
  <c r="F28" i="14"/>
  <c r="F27" i="14"/>
  <c r="E27" i="14"/>
  <c r="D27" i="14"/>
  <c r="F24" i="14"/>
  <c r="F23" i="14"/>
  <c r="F22" i="14"/>
  <c r="F21" i="14"/>
  <c r="F20" i="14"/>
  <c r="F19" i="14"/>
  <c r="E19" i="14"/>
  <c r="D19" i="14"/>
  <c r="F17" i="14"/>
  <c r="F16" i="14"/>
  <c r="F15" i="14"/>
  <c r="F14" i="14"/>
  <c r="F13" i="14"/>
  <c r="E13" i="14"/>
  <c r="D13" i="14"/>
  <c r="C8" i="14"/>
  <c r="C6" i="14"/>
  <c r="C4" i="14"/>
  <c r="C3" i="14"/>
  <c r="F113" i="13"/>
  <c r="F111" i="13"/>
  <c r="F109" i="13"/>
  <c r="H89" i="13"/>
  <c r="G89" i="13"/>
  <c r="F89" i="13"/>
  <c r="E89" i="13"/>
  <c r="D89" i="13"/>
  <c r="G87" i="13"/>
  <c r="H86" i="13"/>
  <c r="G86" i="13"/>
  <c r="F86" i="13"/>
  <c r="E86" i="13"/>
  <c r="D86" i="13"/>
  <c r="G85" i="13"/>
  <c r="H84" i="13"/>
  <c r="G84" i="13"/>
  <c r="F84" i="13"/>
  <c r="D84" i="13"/>
  <c r="G83" i="13"/>
  <c r="G82" i="13"/>
  <c r="G81" i="13"/>
  <c r="G80" i="13"/>
  <c r="G79" i="13"/>
  <c r="H78" i="13"/>
  <c r="G78" i="13"/>
  <c r="F78" i="13"/>
  <c r="E78" i="13"/>
  <c r="G76" i="13"/>
  <c r="G75" i="13"/>
  <c r="G74" i="13"/>
  <c r="G73" i="13"/>
  <c r="G72" i="13"/>
  <c r="G71" i="13"/>
  <c r="G70" i="13"/>
  <c r="H69" i="13"/>
  <c r="G69" i="13"/>
  <c r="F69" i="13"/>
  <c r="E69" i="13"/>
  <c r="D69" i="13"/>
  <c r="G68" i="13"/>
  <c r="G67" i="13"/>
  <c r="G66" i="13"/>
  <c r="G65" i="13"/>
  <c r="G64" i="13"/>
  <c r="G63" i="13"/>
  <c r="G62" i="13"/>
  <c r="G61" i="13"/>
  <c r="G60" i="13"/>
  <c r="H59" i="13"/>
  <c r="G59" i="13"/>
  <c r="F59" i="13"/>
  <c r="E59" i="13"/>
  <c r="G57" i="13"/>
  <c r="G56" i="13"/>
  <c r="G55" i="13"/>
  <c r="H54" i="13"/>
  <c r="G54" i="13"/>
  <c r="F54" i="13"/>
  <c r="E54" i="13"/>
  <c r="G52" i="13"/>
  <c r="G51" i="13"/>
  <c r="G50" i="13"/>
  <c r="H49" i="13"/>
  <c r="G49" i="13"/>
  <c r="F49" i="13"/>
  <c r="E49" i="13"/>
  <c r="G47" i="13"/>
  <c r="H45" i="13"/>
  <c r="G45" i="13"/>
  <c r="F45" i="13"/>
  <c r="E45" i="13"/>
  <c r="G43" i="13"/>
  <c r="G42" i="13"/>
  <c r="G41" i="13"/>
  <c r="G40" i="13"/>
  <c r="G39" i="13"/>
  <c r="G38" i="13"/>
  <c r="H37" i="13"/>
  <c r="G37" i="13"/>
  <c r="F37" i="13"/>
  <c r="E37" i="13"/>
  <c r="G35" i="13"/>
  <c r="G34" i="13"/>
  <c r="G33" i="13"/>
  <c r="G32" i="13"/>
  <c r="G31" i="13"/>
  <c r="H30" i="13"/>
  <c r="G30" i="13"/>
  <c r="F30" i="13"/>
  <c r="E30" i="13"/>
  <c r="G28" i="13"/>
  <c r="H27" i="13"/>
  <c r="G27" i="13"/>
  <c r="F27" i="13"/>
  <c r="E27" i="13"/>
  <c r="G24" i="13"/>
  <c r="C24" i="13"/>
  <c r="G23" i="13"/>
  <c r="C23" i="13"/>
  <c r="G22" i="13"/>
  <c r="C22" i="13"/>
  <c r="G21" i="13"/>
  <c r="C21" i="13"/>
  <c r="G20" i="13"/>
  <c r="E20" i="13"/>
  <c r="C20" i="13"/>
  <c r="H19" i="13"/>
  <c r="G19" i="13"/>
  <c r="F19" i="13"/>
  <c r="E19" i="13"/>
  <c r="G17" i="13"/>
  <c r="E17" i="13"/>
  <c r="C17" i="13"/>
  <c r="G16" i="13"/>
  <c r="E16" i="13"/>
  <c r="C16" i="13"/>
  <c r="G15" i="13"/>
  <c r="E15" i="13"/>
  <c r="C15" i="13"/>
  <c r="G14" i="13"/>
  <c r="C14" i="13"/>
  <c r="H13" i="13"/>
  <c r="G13" i="13"/>
  <c r="F13" i="13"/>
  <c r="E13" i="13"/>
  <c r="C8" i="13"/>
  <c r="C6" i="13"/>
  <c r="C5" i="13"/>
  <c r="C4" i="13"/>
  <c r="C3" i="13"/>
  <c r="F113" i="16"/>
  <c r="F111" i="16"/>
  <c r="F109" i="16"/>
  <c r="H89" i="16"/>
  <c r="G89" i="16"/>
  <c r="F89" i="16"/>
  <c r="E89" i="16"/>
  <c r="D89" i="16"/>
  <c r="G87" i="16"/>
  <c r="H86" i="16"/>
  <c r="G86" i="16"/>
  <c r="F86" i="16"/>
  <c r="E86" i="16"/>
  <c r="D86" i="16"/>
  <c r="G85" i="16"/>
  <c r="H84" i="16"/>
  <c r="G84" i="16"/>
  <c r="F84" i="16"/>
  <c r="D84" i="16"/>
  <c r="G83" i="16"/>
  <c r="G82" i="16"/>
  <c r="G81" i="16"/>
  <c r="G80" i="16"/>
  <c r="G79" i="16"/>
  <c r="H78" i="16"/>
  <c r="G78" i="16"/>
  <c r="F78" i="16"/>
  <c r="E78" i="16"/>
  <c r="G76" i="16"/>
  <c r="G75" i="16"/>
  <c r="G74" i="16"/>
  <c r="G73" i="16"/>
  <c r="G72" i="16"/>
  <c r="G71" i="16"/>
  <c r="G70" i="16"/>
  <c r="H69" i="16"/>
  <c r="G69" i="16"/>
  <c r="F69" i="16"/>
  <c r="E69" i="16"/>
  <c r="D69" i="16"/>
  <c r="G68" i="16"/>
  <c r="G67" i="16"/>
  <c r="G66" i="16"/>
  <c r="G65" i="16"/>
  <c r="G64" i="16"/>
  <c r="G63" i="16"/>
  <c r="G62" i="16"/>
  <c r="G61" i="16"/>
  <c r="G60" i="16"/>
  <c r="H59" i="16"/>
  <c r="G59" i="16"/>
  <c r="F59" i="16"/>
  <c r="E59" i="16"/>
  <c r="G57" i="16"/>
  <c r="G56" i="16"/>
  <c r="G55" i="16"/>
  <c r="H54" i="16"/>
  <c r="G54" i="16"/>
  <c r="F54" i="16"/>
  <c r="E54" i="16"/>
  <c r="G52" i="16"/>
  <c r="G51" i="16"/>
  <c r="G50" i="16"/>
  <c r="H49" i="16"/>
  <c r="G49" i="16"/>
  <c r="F49" i="16"/>
  <c r="E49" i="16"/>
  <c r="G47" i="16"/>
  <c r="H45" i="16"/>
  <c r="G45" i="16"/>
  <c r="F45" i="16"/>
  <c r="E45" i="16"/>
  <c r="G43" i="16"/>
  <c r="G42" i="16"/>
  <c r="G41" i="16"/>
  <c r="G40" i="16"/>
  <c r="G39" i="16"/>
  <c r="G38" i="16"/>
  <c r="H37" i="16"/>
  <c r="G37" i="16"/>
  <c r="F37" i="16"/>
  <c r="E37" i="16"/>
  <c r="G35" i="16"/>
  <c r="G34" i="16"/>
  <c r="G33" i="16"/>
  <c r="G32" i="16"/>
  <c r="G31" i="16"/>
  <c r="H30" i="16"/>
  <c r="G30" i="16"/>
  <c r="F30" i="16"/>
  <c r="E30" i="16"/>
  <c r="G28" i="16"/>
  <c r="H27" i="16"/>
  <c r="G27" i="16"/>
  <c r="F27" i="16"/>
  <c r="E27" i="16"/>
  <c r="G24" i="16"/>
  <c r="C24" i="16"/>
  <c r="G23" i="16"/>
  <c r="C23" i="16"/>
  <c r="G22" i="16"/>
  <c r="C22" i="16"/>
  <c r="G21" i="16"/>
  <c r="C21" i="16"/>
  <c r="G20" i="16"/>
  <c r="E20" i="16"/>
  <c r="C20" i="16"/>
  <c r="H19" i="16"/>
  <c r="G19" i="16"/>
  <c r="F19" i="16"/>
  <c r="E19" i="16"/>
  <c r="G17" i="16"/>
  <c r="E17" i="16"/>
  <c r="C17" i="16"/>
  <c r="G16" i="16"/>
  <c r="E16" i="16"/>
  <c r="C16" i="16"/>
  <c r="G15" i="16"/>
  <c r="E15" i="16"/>
  <c r="C15" i="16"/>
  <c r="G14" i="16"/>
  <c r="C14" i="16"/>
  <c r="H13" i="16"/>
  <c r="G13" i="16"/>
  <c r="F13" i="16"/>
  <c r="E13" i="16"/>
  <c r="C8" i="16"/>
  <c r="C6" i="16"/>
  <c r="C5" i="16"/>
  <c r="C4" i="16"/>
  <c r="C3" i="16"/>
  <c r="H99" i="17"/>
  <c r="G99" i="17"/>
  <c r="H98" i="17"/>
  <c r="G98" i="17"/>
  <c r="H96" i="17"/>
  <c r="G96" i="17"/>
  <c r="P92" i="17"/>
  <c r="N92" i="17"/>
  <c r="K92" i="17"/>
  <c r="H92" i="17"/>
  <c r="P90" i="17"/>
  <c r="O90" i="17"/>
  <c r="H90" i="17"/>
  <c r="E90" i="17"/>
  <c r="P89" i="17"/>
  <c r="N89" i="17"/>
  <c r="K89" i="17"/>
  <c r="H89" i="17"/>
  <c r="P87" i="17"/>
  <c r="O87" i="17"/>
  <c r="N87" i="17"/>
  <c r="M87" i="17"/>
  <c r="L87" i="17"/>
  <c r="K87" i="17"/>
  <c r="J87" i="17"/>
  <c r="I87" i="17"/>
  <c r="H87" i="17"/>
  <c r="G87" i="17"/>
  <c r="F87" i="17"/>
  <c r="P86" i="17"/>
  <c r="N86" i="17"/>
  <c r="K86" i="17"/>
  <c r="H86" i="17"/>
  <c r="G85" i="17"/>
  <c r="P84" i="17"/>
  <c r="O84" i="17"/>
  <c r="N84" i="17"/>
  <c r="K84" i="17"/>
  <c r="J84" i="17"/>
  <c r="H84" i="17"/>
  <c r="G84" i="17"/>
  <c r="P83" i="17"/>
  <c r="O83" i="17"/>
  <c r="N83" i="17"/>
  <c r="M83" i="17"/>
  <c r="K83" i="17"/>
  <c r="J83" i="17"/>
  <c r="H83" i="17"/>
  <c r="P82" i="17"/>
  <c r="O82" i="17"/>
  <c r="N82" i="17"/>
  <c r="M82" i="17"/>
  <c r="K82" i="17"/>
  <c r="J82" i="17"/>
  <c r="H82" i="17"/>
  <c r="G82" i="17"/>
  <c r="P81" i="17"/>
  <c r="O81" i="17"/>
  <c r="N81" i="17"/>
  <c r="M81" i="17"/>
  <c r="K81" i="17"/>
  <c r="J81" i="17"/>
  <c r="H81" i="17"/>
  <c r="G81" i="17"/>
  <c r="P80" i="17"/>
  <c r="O80" i="17"/>
  <c r="N80" i="17"/>
  <c r="M80" i="17"/>
  <c r="K80" i="17"/>
  <c r="H80" i="17"/>
  <c r="G80" i="17"/>
  <c r="P79" i="17"/>
  <c r="N79" i="17"/>
  <c r="K79" i="17"/>
  <c r="H79" i="17"/>
  <c r="H77" i="17"/>
  <c r="G77" i="17"/>
  <c r="P76" i="17"/>
  <c r="O76" i="17"/>
  <c r="N76" i="17"/>
  <c r="K76" i="17"/>
  <c r="J76" i="17"/>
  <c r="H76" i="17"/>
  <c r="G76" i="17"/>
  <c r="P75" i="17"/>
  <c r="O75" i="17"/>
  <c r="N75" i="17"/>
  <c r="K75" i="17"/>
  <c r="J75" i="17"/>
  <c r="H75" i="17"/>
  <c r="G75" i="17"/>
  <c r="P74" i="17"/>
  <c r="O74" i="17"/>
  <c r="N74" i="17"/>
  <c r="M74" i="17"/>
  <c r="K74" i="17"/>
  <c r="J74" i="17"/>
  <c r="H74" i="17"/>
  <c r="G74" i="17"/>
  <c r="P70" i="17"/>
  <c r="O70" i="17"/>
  <c r="N70" i="17"/>
  <c r="M70" i="17"/>
  <c r="K70" i="17"/>
  <c r="J70" i="17"/>
  <c r="H70" i="17"/>
  <c r="G70" i="17"/>
  <c r="P69" i="17"/>
  <c r="N69" i="17"/>
  <c r="K69" i="17"/>
  <c r="H69" i="17"/>
  <c r="J68" i="17"/>
  <c r="P67" i="17"/>
  <c r="O67" i="17"/>
  <c r="N67" i="17"/>
  <c r="K67" i="17"/>
  <c r="J67" i="17"/>
  <c r="H67" i="17"/>
  <c r="G67" i="17"/>
  <c r="P66" i="17"/>
  <c r="O66" i="17"/>
  <c r="N66" i="17"/>
  <c r="M66" i="17"/>
  <c r="K66" i="17"/>
  <c r="J66" i="17"/>
  <c r="H66" i="17"/>
  <c r="G66" i="17"/>
  <c r="P65" i="17"/>
  <c r="O65" i="17"/>
  <c r="N65" i="17"/>
  <c r="M65" i="17"/>
  <c r="K65" i="17"/>
  <c r="J65" i="17"/>
  <c r="H65" i="17"/>
  <c r="G65" i="17"/>
  <c r="P64" i="17"/>
  <c r="O64" i="17"/>
  <c r="N64" i="17"/>
  <c r="M64" i="17"/>
  <c r="K64" i="17"/>
  <c r="J64" i="17"/>
  <c r="H64" i="17"/>
  <c r="G64" i="17"/>
  <c r="P63" i="17"/>
  <c r="O63" i="17"/>
  <c r="N63" i="17"/>
  <c r="M63" i="17"/>
  <c r="K63" i="17"/>
  <c r="J63" i="17"/>
  <c r="H63" i="17"/>
  <c r="G63" i="17"/>
  <c r="P62" i="17"/>
  <c r="O62" i="17"/>
  <c r="N62" i="17"/>
  <c r="M62" i="17"/>
  <c r="K62" i="17"/>
  <c r="H62" i="17"/>
  <c r="G62" i="17"/>
  <c r="P61" i="17"/>
  <c r="O61" i="17"/>
  <c r="N61" i="17"/>
  <c r="M61" i="17"/>
  <c r="K61" i="17"/>
  <c r="H61" i="17"/>
  <c r="G61" i="17"/>
  <c r="P60" i="17"/>
  <c r="O60" i="17"/>
  <c r="N60" i="17"/>
  <c r="M60" i="17"/>
  <c r="K60" i="17"/>
  <c r="J60" i="17"/>
  <c r="H60" i="17"/>
  <c r="G60" i="17"/>
  <c r="P59" i="17"/>
  <c r="N59" i="17"/>
  <c r="K59" i="17"/>
  <c r="H59" i="17"/>
  <c r="P57" i="17"/>
  <c r="O57" i="17"/>
  <c r="N57" i="17"/>
  <c r="M57" i="17"/>
  <c r="K57" i="17"/>
  <c r="J57" i="17"/>
  <c r="H57" i="17"/>
  <c r="G57" i="17"/>
  <c r="P56" i="17"/>
  <c r="O56" i="17"/>
  <c r="N56" i="17"/>
  <c r="M56" i="17"/>
  <c r="L56" i="17"/>
  <c r="K56" i="17"/>
  <c r="J56" i="17"/>
  <c r="I56" i="17"/>
  <c r="H56" i="17"/>
  <c r="G56" i="17"/>
  <c r="F56" i="17"/>
  <c r="P55" i="17"/>
  <c r="N55" i="17"/>
  <c r="K55" i="17"/>
  <c r="H55" i="17"/>
  <c r="P53" i="17"/>
  <c r="O53" i="17"/>
  <c r="N53" i="17"/>
  <c r="M53" i="17"/>
  <c r="K53" i="17"/>
  <c r="J53" i="17"/>
  <c r="H53" i="17"/>
  <c r="G53" i="17"/>
  <c r="P52" i="17"/>
  <c r="O52" i="17"/>
  <c r="N52" i="17"/>
  <c r="M52" i="17"/>
  <c r="K52" i="17"/>
  <c r="J52" i="17"/>
  <c r="H52" i="17"/>
  <c r="G52" i="17"/>
  <c r="P51" i="17"/>
  <c r="O51" i="17"/>
  <c r="K51" i="17"/>
  <c r="J51" i="17"/>
  <c r="H51" i="17"/>
  <c r="G51" i="17"/>
  <c r="P50" i="17"/>
  <c r="N50" i="17"/>
  <c r="K50" i="17"/>
  <c r="H50" i="17"/>
  <c r="P48" i="17"/>
  <c r="O48" i="17"/>
  <c r="N48" i="17"/>
  <c r="M48" i="17"/>
  <c r="K48" i="17"/>
  <c r="J48" i="17"/>
  <c r="H48" i="17"/>
  <c r="G48" i="17"/>
  <c r="P47" i="17"/>
  <c r="O47" i="17"/>
  <c r="N47" i="17"/>
  <c r="M47" i="17"/>
  <c r="L47" i="17"/>
  <c r="K47" i="17"/>
  <c r="J47" i="17"/>
  <c r="I47" i="17"/>
  <c r="H47" i="17"/>
  <c r="G47" i="17"/>
  <c r="F47" i="17"/>
  <c r="P46" i="17"/>
  <c r="N46" i="17"/>
  <c r="K46" i="17"/>
  <c r="H46" i="17"/>
  <c r="P44" i="17"/>
  <c r="O44" i="17"/>
  <c r="N44" i="17"/>
  <c r="M44" i="17"/>
  <c r="L44" i="17"/>
  <c r="K44" i="17"/>
  <c r="J44" i="17"/>
  <c r="I44" i="17"/>
  <c r="H44" i="17"/>
  <c r="G44" i="17"/>
  <c r="F44" i="17"/>
  <c r="P43" i="17"/>
  <c r="O43" i="17"/>
  <c r="N43" i="17"/>
  <c r="M43" i="17"/>
  <c r="L43" i="17"/>
  <c r="K43" i="17"/>
  <c r="J43" i="17"/>
  <c r="I43" i="17"/>
  <c r="H43" i="17"/>
  <c r="G43" i="17"/>
  <c r="F43" i="17"/>
  <c r="P42" i="17"/>
  <c r="O42" i="17"/>
  <c r="N42" i="17"/>
  <c r="M42" i="17"/>
  <c r="K42" i="17"/>
  <c r="J42" i="17"/>
  <c r="H42" i="17"/>
  <c r="G42" i="17"/>
  <c r="P41" i="17"/>
  <c r="O41" i="17"/>
  <c r="N41" i="17"/>
  <c r="M41" i="17"/>
  <c r="L41" i="17"/>
  <c r="K41" i="17"/>
  <c r="J41" i="17"/>
  <c r="I41" i="17"/>
  <c r="H41" i="17"/>
  <c r="G41" i="17"/>
  <c r="F41" i="17"/>
  <c r="P40" i="17"/>
  <c r="O40" i="17"/>
  <c r="N40" i="17"/>
  <c r="M40" i="17"/>
  <c r="L40" i="17"/>
  <c r="K40" i="17"/>
  <c r="J40" i="17"/>
  <c r="I40" i="17"/>
  <c r="H40" i="17"/>
  <c r="G40" i="17"/>
  <c r="F40" i="17"/>
  <c r="P39" i="17"/>
  <c r="O39" i="17"/>
  <c r="N39" i="17"/>
  <c r="M39" i="17"/>
  <c r="L39" i="17"/>
  <c r="K39" i="17"/>
  <c r="J39" i="17"/>
  <c r="I39" i="17"/>
  <c r="H39" i="17"/>
  <c r="G39" i="17"/>
  <c r="F39" i="17"/>
  <c r="P38" i="17"/>
  <c r="N38" i="17"/>
  <c r="K38" i="17"/>
  <c r="I38" i="17"/>
  <c r="H38" i="17"/>
  <c r="E38" i="17"/>
  <c r="P36" i="17"/>
  <c r="O36" i="17"/>
  <c r="N36" i="17"/>
  <c r="M36" i="17"/>
  <c r="L36" i="17"/>
  <c r="K36" i="17"/>
  <c r="J36" i="17"/>
  <c r="I36" i="17"/>
  <c r="H36" i="17"/>
  <c r="G36" i="17"/>
  <c r="F36" i="17"/>
  <c r="P35" i="17"/>
  <c r="O35" i="17"/>
  <c r="N35" i="17"/>
  <c r="M35" i="17"/>
  <c r="L35" i="17"/>
  <c r="K35" i="17"/>
  <c r="J35" i="17"/>
  <c r="I35" i="17"/>
  <c r="H35" i="17"/>
  <c r="G35" i="17"/>
  <c r="F35" i="17"/>
  <c r="P34" i="17"/>
  <c r="O34" i="17"/>
  <c r="N34" i="17"/>
  <c r="M34" i="17"/>
  <c r="L34" i="17"/>
  <c r="K34" i="17"/>
  <c r="J34" i="17"/>
  <c r="I34" i="17"/>
  <c r="H34" i="17"/>
  <c r="G34" i="17"/>
  <c r="F34" i="17"/>
  <c r="P33" i="17"/>
  <c r="O33" i="17"/>
  <c r="N33" i="17"/>
  <c r="M33" i="17"/>
  <c r="K33" i="17"/>
  <c r="J33" i="17"/>
  <c r="H33" i="17"/>
  <c r="G33" i="17"/>
  <c r="P32" i="17"/>
  <c r="O32" i="17"/>
  <c r="N32" i="17"/>
  <c r="K32" i="17"/>
  <c r="J32" i="17"/>
  <c r="H32" i="17"/>
  <c r="G32" i="17"/>
  <c r="P31" i="17"/>
  <c r="N31" i="17"/>
  <c r="K31" i="17"/>
  <c r="H31" i="17"/>
  <c r="P29" i="17"/>
  <c r="O29" i="17"/>
  <c r="N29" i="17"/>
  <c r="M29" i="17"/>
  <c r="K29" i="17"/>
  <c r="H29" i="17"/>
  <c r="G29" i="17"/>
  <c r="P28" i="17"/>
  <c r="N28" i="17"/>
  <c r="K28" i="17"/>
  <c r="H28" i="17"/>
  <c r="P25" i="17"/>
  <c r="O25" i="17"/>
  <c r="N25" i="17"/>
  <c r="M25" i="17"/>
  <c r="K25" i="17"/>
  <c r="J25" i="17"/>
  <c r="H25" i="17"/>
  <c r="G25" i="17"/>
  <c r="P24" i="17"/>
  <c r="O24" i="17"/>
  <c r="N24" i="17"/>
  <c r="K24" i="17"/>
  <c r="H24" i="17"/>
  <c r="G24" i="17"/>
  <c r="P23" i="17"/>
  <c r="O23" i="17"/>
  <c r="N23" i="17"/>
  <c r="M23" i="17"/>
  <c r="K23" i="17"/>
  <c r="J23" i="17"/>
  <c r="H23" i="17"/>
  <c r="G23" i="17"/>
  <c r="P22" i="17"/>
  <c r="O22" i="17"/>
  <c r="N22" i="17"/>
  <c r="M22" i="17"/>
  <c r="K22" i="17"/>
  <c r="J22" i="17"/>
  <c r="H22" i="17"/>
  <c r="G22" i="17"/>
  <c r="P21" i="17"/>
  <c r="O21" i="17"/>
  <c r="N21" i="17"/>
  <c r="M21" i="17"/>
  <c r="K21" i="17"/>
  <c r="J21" i="17"/>
  <c r="H21" i="17"/>
  <c r="G21" i="17"/>
  <c r="P20" i="17"/>
  <c r="N20" i="17"/>
  <c r="K20" i="17"/>
  <c r="H20" i="17"/>
  <c r="P18" i="17"/>
  <c r="O18" i="17"/>
  <c r="N18" i="17"/>
  <c r="M18" i="17"/>
  <c r="K18" i="17"/>
  <c r="J18" i="17"/>
  <c r="I18" i="17"/>
  <c r="H18" i="17"/>
  <c r="G18" i="17"/>
  <c r="P17" i="17"/>
  <c r="O17" i="17"/>
  <c r="N17" i="17"/>
  <c r="M17" i="17"/>
  <c r="K17" i="17"/>
  <c r="J17" i="17"/>
  <c r="I17" i="17"/>
  <c r="H17" i="17"/>
  <c r="G17" i="17"/>
  <c r="P16" i="17"/>
  <c r="O16" i="17"/>
  <c r="N16" i="17"/>
  <c r="M16" i="17"/>
  <c r="K16" i="17"/>
  <c r="J16" i="17"/>
  <c r="I16" i="17"/>
  <c r="H16" i="17"/>
  <c r="G16" i="17"/>
  <c r="P15" i="17"/>
  <c r="O15" i="17"/>
  <c r="N15" i="17"/>
  <c r="M15" i="17"/>
  <c r="K15" i="17"/>
  <c r="J15" i="17"/>
  <c r="I15" i="17"/>
  <c r="H15" i="17"/>
  <c r="G15" i="17"/>
  <c r="P14" i="17"/>
  <c r="N14" i="17"/>
  <c r="K14" i="17"/>
  <c r="H14" i="17"/>
  <c r="C7" i="17"/>
  <c r="J4" i="17"/>
  <c r="I4" i="17"/>
  <c r="J3" i="17"/>
  <c r="I3" i="17"/>
  <c r="P90" i="11"/>
  <c r="P89" i="11" s="1"/>
  <c r="H90" i="11"/>
  <c r="N88" i="11"/>
  <c r="N87" i="11" s="1"/>
  <c r="K88" i="11"/>
  <c r="K87" i="11" s="1"/>
  <c r="D87" i="11"/>
  <c r="O85" i="11"/>
  <c r="K85" i="11"/>
  <c r="O84" i="11"/>
  <c r="N84" i="11"/>
  <c r="K84" i="11"/>
  <c r="O82" i="11"/>
  <c r="N82" i="11"/>
  <c r="K82" i="11"/>
  <c r="O81" i="11"/>
  <c r="N81" i="11"/>
  <c r="K81" i="11"/>
  <c r="P78" i="11"/>
  <c r="O77" i="11"/>
  <c r="K77" i="11"/>
  <c r="O76" i="11"/>
  <c r="N76" i="11"/>
  <c r="K76" i="11"/>
  <c r="O75" i="11"/>
  <c r="N75" i="11"/>
  <c r="K75" i="11"/>
  <c r="P74" i="11"/>
  <c r="P73" i="11"/>
  <c r="O71" i="11"/>
  <c r="N71" i="11"/>
  <c r="K71" i="11"/>
  <c r="O67" i="11"/>
  <c r="K67" i="11"/>
  <c r="O66" i="11"/>
  <c r="N66" i="11"/>
  <c r="K66" i="11"/>
  <c r="O72" i="11"/>
  <c r="N72" i="11"/>
  <c r="K72" i="11"/>
  <c r="O65" i="11"/>
  <c r="N65" i="11"/>
  <c r="K65" i="11"/>
  <c r="O64" i="11"/>
  <c r="N64" i="11"/>
  <c r="K64" i="11"/>
  <c r="O63" i="11"/>
  <c r="N63" i="11"/>
  <c r="K63" i="11"/>
  <c r="O62" i="11"/>
  <c r="N62" i="11"/>
  <c r="K62" i="11"/>
  <c r="O61" i="11"/>
  <c r="M61" i="11"/>
  <c r="N61" i="11" s="1"/>
  <c r="K61" i="11"/>
  <c r="O58" i="11"/>
  <c r="N58" i="11"/>
  <c r="M58" i="11"/>
  <c r="K58" i="11"/>
  <c r="F56" i="11"/>
  <c r="O54" i="11"/>
  <c r="N54" i="11"/>
  <c r="K54" i="11"/>
  <c r="O53" i="11"/>
  <c r="N53" i="11"/>
  <c r="K53" i="11"/>
  <c r="O52" i="11"/>
  <c r="K52" i="11"/>
  <c r="O49" i="11"/>
  <c r="N49" i="11"/>
  <c r="K49" i="11"/>
  <c r="D47" i="11"/>
  <c r="D94" i="11" s="1"/>
  <c r="O46" i="11"/>
  <c r="N46" i="11"/>
  <c r="K46" i="11"/>
  <c r="O45" i="11"/>
  <c r="N45" i="11"/>
  <c r="J41" i="11"/>
  <c r="M41" i="11" s="1"/>
  <c r="E41" i="11"/>
  <c r="E42" i="11" s="1"/>
  <c r="M40" i="11"/>
  <c r="L37" i="11"/>
  <c r="N37" i="11" s="1"/>
  <c r="I37" i="11"/>
  <c r="K37" i="11" s="1"/>
  <c r="E37" i="11"/>
  <c r="O36" i="11"/>
  <c r="M36" i="11"/>
  <c r="N36" i="11" s="1"/>
  <c r="O35" i="11"/>
  <c r="M35" i="11"/>
  <c r="N35" i="11" s="1"/>
  <c r="K35" i="11"/>
  <c r="L34" i="11"/>
  <c r="N34" i="11" s="1"/>
  <c r="I34" i="11"/>
  <c r="O33" i="11"/>
  <c r="N33" i="11"/>
  <c r="K33" i="11"/>
  <c r="N32" i="11"/>
  <c r="K32" i="11"/>
  <c r="O29" i="11"/>
  <c r="N29" i="11"/>
  <c r="N28" i="11" s="1"/>
  <c r="M29" i="11"/>
  <c r="K29" i="11"/>
  <c r="K28" i="11" s="1"/>
  <c r="F28" i="11"/>
  <c r="F94" i="11" s="1"/>
  <c r="O25" i="11"/>
  <c r="J25" i="11"/>
  <c r="M25" i="11" s="1"/>
  <c r="N25" i="11" s="1"/>
  <c r="O24" i="11"/>
  <c r="N24" i="11"/>
  <c r="K24" i="11"/>
  <c r="O23" i="11"/>
  <c r="N23" i="11"/>
  <c r="O22" i="11"/>
  <c r="M22" i="11"/>
  <c r="N22" i="11" s="1"/>
  <c r="O21" i="11"/>
  <c r="K21" i="11"/>
  <c r="O18" i="11"/>
  <c r="M18" i="11"/>
  <c r="N18" i="11" s="1"/>
  <c r="O17" i="11"/>
  <c r="K17" i="11"/>
  <c r="O16" i="11"/>
  <c r="J16" i="11"/>
  <c r="M16" i="11" s="1"/>
  <c r="N16" i="11" s="1"/>
  <c r="O14" i="11"/>
  <c r="M14" i="11"/>
  <c r="N14" i="11" s="1"/>
  <c r="M6" i="11"/>
  <c r="P24" i="11" l="1"/>
  <c r="F92" i="11"/>
  <c r="F95" i="11" s="1"/>
  <c r="K60" i="11"/>
  <c r="N60" i="11"/>
  <c r="N31" i="11"/>
  <c r="N80" i="11"/>
  <c r="K51" i="11"/>
  <c r="K80" i="11"/>
  <c r="N51" i="11"/>
  <c r="N70" i="11"/>
  <c r="P77" i="11"/>
  <c r="N17" i="11"/>
  <c r="P17" i="11" s="1"/>
  <c r="P35" i="11"/>
  <c r="E12" i="12"/>
  <c r="K14" i="11"/>
  <c r="P72" i="11"/>
  <c r="D92" i="11"/>
  <c r="D95" i="11" s="1"/>
  <c r="O34" i="11"/>
  <c r="P32" i="11"/>
  <c r="K34" i="11"/>
  <c r="P46" i="11"/>
  <c r="F12" i="12"/>
  <c r="O37" i="11"/>
  <c r="L40" i="11"/>
  <c r="K16" i="11"/>
  <c r="P16" i="11" s="1"/>
  <c r="N21" i="11"/>
  <c r="N20" i="11" s="1"/>
  <c r="K23" i="11"/>
  <c r="P29" i="11"/>
  <c r="P28" i="11" s="1"/>
  <c r="P33" i="11"/>
  <c r="P37" i="11"/>
  <c r="K45" i="11"/>
  <c r="P45" i="11" s="1"/>
  <c r="P67" i="11"/>
  <c r="K18" i="11"/>
  <c r="P18" i="11" s="1"/>
  <c r="K25" i="11"/>
  <c r="P25" i="11" s="1"/>
  <c r="P53" i="11"/>
  <c r="P76" i="11"/>
  <c r="I40" i="11"/>
  <c r="I44" i="11" s="1"/>
  <c r="P58" i="11"/>
  <c r="K22" i="11"/>
  <c r="P22" i="11" s="1"/>
  <c r="P54" i="11"/>
  <c r="P64" i="11"/>
  <c r="K36" i="11"/>
  <c r="P88" i="11"/>
  <c r="P87" i="11" s="1"/>
  <c r="P85" i="11"/>
  <c r="P84" i="11"/>
  <c r="P82" i="11"/>
  <c r="P81" i="11"/>
  <c r="K70" i="11"/>
  <c r="P75" i="11"/>
  <c r="P71" i="11"/>
  <c r="P66" i="11"/>
  <c r="P65" i="11"/>
  <c r="P63" i="11"/>
  <c r="P61" i="11"/>
  <c r="P62" i="11"/>
  <c r="P52" i="11"/>
  <c r="P49" i="11"/>
  <c r="P60" i="11" l="1"/>
  <c r="K20" i="11"/>
  <c r="P51" i="11"/>
  <c r="N13" i="11"/>
  <c r="P80" i="11"/>
  <c r="P70" i="11"/>
  <c r="P34" i="11"/>
  <c r="K31" i="11"/>
  <c r="P14" i="11"/>
  <c r="P13" i="11" s="1"/>
  <c r="K13" i="11"/>
  <c r="L48" i="11"/>
  <c r="L57" i="11" s="1"/>
  <c r="N57" i="11" s="1"/>
  <c r="N56" i="11" s="1"/>
  <c r="L44" i="11"/>
  <c r="P23" i="11"/>
  <c r="D12" i="12"/>
  <c r="P21" i="11"/>
  <c r="N40" i="11"/>
  <c r="L41" i="11"/>
  <c r="P36" i="11"/>
  <c r="I48" i="11"/>
  <c r="O40" i="11"/>
  <c r="I41" i="11"/>
  <c r="K40" i="11"/>
  <c r="N48" i="11" l="1"/>
  <c r="N47" i="11" s="1"/>
  <c r="P31" i="11"/>
  <c r="P20" i="11"/>
  <c r="L42" i="11"/>
  <c r="N41" i="11"/>
  <c r="I42" i="11"/>
  <c r="O41" i="11"/>
  <c r="K41" i="11"/>
  <c r="P40" i="11"/>
  <c r="O48" i="11"/>
  <c r="K48" i="11"/>
  <c r="K47" i="11" s="1"/>
  <c r="P41" i="11" l="1"/>
  <c r="I4" i="11"/>
  <c r="N42" i="11"/>
  <c r="O57" i="11"/>
  <c r="K57" i="11"/>
  <c r="K56" i="11" s="1"/>
  <c r="K42" i="11"/>
  <c r="O42" i="11"/>
  <c r="P48" i="11"/>
  <c r="P47" i="11" s="1"/>
  <c r="P42" i="11" l="1"/>
  <c r="N43" i="11"/>
  <c r="N44" i="11"/>
  <c r="K43" i="11"/>
  <c r="O43" i="11"/>
  <c r="P57" i="11"/>
  <c r="P56" i="11" s="1"/>
  <c r="K39" i="11" l="1"/>
  <c r="K94" i="11" s="1"/>
  <c r="N39" i="11"/>
  <c r="N92" i="11" s="1"/>
  <c r="P43" i="11"/>
  <c r="K44" i="11"/>
  <c r="P44" i="11" s="1"/>
  <c r="O44" i="11"/>
  <c r="N94" i="11" l="1"/>
  <c r="N95" i="11" s="1"/>
  <c r="P39" i="11"/>
  <c r="P92" i="11" s="1"/>
  <c r="K92" i="11"/>
  <c r="K95" i="11" s="1"/>
  <c r="P94" i="11" l="1"/>
  <c r="P95" i="11" s="1"/>
  <c r="C7" i="11"/>
  <c r="J4" i="11" s="1"/>
  <c r="J3" i="11" l="1"/>
</calcChain>
</file>

<file path=xl/sharedStrings.xml><?xml version="1.0" encoding="utf-8"?>
<sst xmlns="http://schemas.openxmlformats.org/spreadsheetml/2006/main" count="1538" uniqueCount="318">
  <si>
    <t>Unit</t>
  </si>
  <si>
    <t>Request to Winrock</t>
  </si>
  <si>
    <t>Description of Expense</t>
  </si>
  <si>
    <t xml:space="preserve">Salaries by role </t>
  </si>
  <si>
    <t>Fees and stipends by activity</t>
  </si>
  <si>
    <t>Supplies and materials</t>
  </si>
  <si>
    <t xml:space="preserve">12. Budget and Match </t>
  </si>
  <si>
    <t>Rate/Unit</t>
  </si>
  <si>
    <t>TOTAL Cost</t>
  </si>
  <si>
    <t>Transportation and travel/per diem by activity</t>
  </si>
  <si>
    <t>Events and etc. by each</t>
  </si>
  <si>
    <t>Printing/publishing by activity</t>
  </si>
  <si>
    <t>Other direct costs</t>
  </si>
  <si>
    <t>TOTAL COST</t>
  </si>
  <si>
    <t>% of Cost Sharing</t>
  </si>
  <si>
    <t>Organization’s Match 21%</t>
  </si>
  <si>
    <t>Remarks</t>
  </si>
  <si>
    <t xml:space="preserve">Outreach and Awareness Activities for Community </t>
  </si>
  <si>
    <t>Ashshash Indicator</t>
  </si>
  <si>
    <t>Unit Type</t>
  </si>
  <si>
    <t>Per Activity</t>
  </si>
  <si>
    <t>SL #</t>
  </si>
  <si>
    <t>Referral coordination</t>
  </si>
  <si>
    <t>Economic Empowerment Process Follow-up</t>
  </si>
  <si>
    <t xml:space="preserve">Organization's Name:  </t>
  </si>
  <si>
    <t>Office Support / Operations Assistant</t>
  </si>
  <si>
    <t>Office Rent</t>
  </si>
  <si>
    <t xml:space="preserve">Utilities &amp; Stationary </t>
  </si>
  <si>
    <t>Travel cost (local and inter district)</t>
  </si>
  <si>
    <t xml:space="preserve">Salaries </t>
  </si>
  <si>
    <t>Other Direct Cost</t>
  </si>
  <si>
    <t>Per month</t>
  </si>
  <si>
    <t>b. Psychosocial counselling support to individual/group</t>
  </si>
  <si>
    <t>b. Community counseling sessions</t>
  </si>
  <si>
    <t># of Unit</t>
  </si>
  <si>
    <t>Amount</t>
  </si>
  <si>
    <t>Unit Cost</t>
  </si>
  <si>
    <t>Line Items</t>
  </si>
  <si>
    <t>Recruitment Cost</t>
  </si>
  <si>
    <t>Per Survivor</t>
  </si>
  <si>
    <t>Per Survivor Family</t>
  </si>
  <si>
    <t>a. Mental State Examination (MSE)</t>
  </si>
  <si>
    <t xml:space="preserve">Proposed District:  </t>
  </si>
  <si>
    <t xml:space="preserve">Project Title:  </t>
  </si>
  <si>
    <t>Ashshash: For Men and Women Who Have Escaped Trafficking</t>
  </si>
  <si>
    <t>OPERATIONING COSTS</t>
  </si>
  <si>
    <t>a. Family counseling session</t>
  </si>
  <si>
    <t>Survivor Identification &amp; Enrollment</t>
  </si>
  <si>
    <t>Proposed Budget (BDT):</t>
  </si>
  <si>
    <t xml:space="preserve">Project Duration: </t>
  </si>
  <si>
    <t>Year 1 (12 months)</t>
  </si>
  <si>
    <t># of Units</t>
  </si>
  <si>
    <t>PROGRAM COSTS</t>
  </si>
  <si>
    <t>Psychosocial Counselling Support to Survivors</t>
  </si>
  <si>
    <t xml:space="preserve">Counselling Support to Survivors' Families </t>
  </si>
  <si>
    <t>Total Budget In BDT</t>
  </si>
  <si>
    <t>Per Unit</t>
  </si>
  <si>
    <t xml:space="preserve">Follow-up, Assessment &amp; Sustainable Re-Integration of Survivors </t>
  </si>
  <si>
    <t>b. Coordination meeting with TSPs</t>
  </si>
  <si>
    <t>a. Individual beneficiaries follow-up at TSPs during trainings (classroom and OJT)</t>
  </si>
  <si>
    <t>Identification and Capacity Development of CTIP Activists</t>
  </si>
  <si>
    <t xml:space="preserve">a. Identify CTIP activists from Upazilla CTC, Peer/Youth Leader, Influential leader and Anirban ; </t>
  </si>
  <si>
    <t xml:space="preserve">c. Capacity Development of CTIP activists on Human Trafficking, migration, Survivor service, Survivor identification, referral mechanism ; </t>
  </si>
  <si>
    <t>Courier, mobile, internet etc.</t>
  </si>
  <si>
    <t>Standard</t>
  </si>
  <si>
    <t>Current</t>
  </si>
  <si>
    <t>Project Inception</t>
  </si>
  <si>
    <t>- 8th March (International Women's Day)</t>
  </si>
  <si>
    <t>- 18th December (Migrants Day)</t>
  </si>
  <si>
    <t>- 30th July ( Anti-Human Trafficking Day)</t>
  </si>
  <si>
    <t>Day Observation Events - - -</t>
  </si>
  <si>
    <t>Activity</t>
  </si>
  <si>
    <t>per survivor</t>
  </si>
  <si>
    <t>one time</t>
  </si>
  <si>
    <t>c. Travel cost of Counselor</t>
  </si>
  <si>
    <t>d. Trauma counselling support by experts</t>
  </si>
  <si>
    <t>activity</t>
  </si>
  <si>
    <t>case</t>
  </si>
  <si>
    <t>meeting</t>
  </si>
  <si>
    <t xml:space="preserve">training </t>
  </si>
  <si>
    <t>a. Training for CTIP activists on facilitation, communication, survivor reintegration and advocacy</t>
  </si>
  <si>
    <t>Provide Tools and Coaching to CTIP Activists</t>
  </si>
  <si>
    <t>a. Survivor Identification and Enrollment</t>
  </si>
  <si>
    <t>b. Refer legal case for follow up and support</t>
  </si>
  <si>
    <t>c. Coordination meetings with service providers</t>
  </si>
  <si>
    <t>Year 3 (6 months)</t>
  </si>
  <si>
    <t xml:space="preserve">b. CTIP activists group formation meeting </t>
  </si>
  <si>
    <t>a. Community awareness session (POT/ Puppet)</t>
  </si>
  <si>
    <t>a. Follow-up of Survivors (travel &amp; other cost related to follow-up &amp; re-integration in collaboration with TSPs)</t>
  </si>
  <si>
    <t>Project Accounts &amp; Admin Officer 100%</t>
  </si>
  <si>
    <t>Project Coordinator  100%</t>
  </si>
  <si>
    <t>BNWLA</t>
  </si>
  <si>
    <t>Cox's Bazar</t>
  </si>
  <si>
    <t>30 months</t>
  </si>
  <si>
    <t>1ACT.1.1.3</t>
  </si>
  <si>
    <t>1ACT.2.1.2</t>
  </si>
  <si>
    <t>1ACT.2.1.3</t>
  </si>
  <si>
    <t>1ACT.2.1.4</t>
  </si>
  <si>
    <t>b. Travel cost for Survivor for health and legal support through referral (need based)</t>
  </si>
  <si>
    <t>c. Case Management with documentation</t>
  </si>
  <si>
    <t>d. Social Mobilizer's Salary</t>
  </si>
  <si>
    <t>e. Travel cost for Survivor Identification and Enrollment</t>
  </si>
  <si>
    <t>e. End assessment of counseling support / certification (make ready for economic empowerment process)</t>
  </si>
  <si>
    <t xml:space="preserve">f. Counsellors salary </t>
  </si>
  <si>
    <t>d. Bi-Monthly Coordination meeting for CTIP Activists;</t>
  </si>
  <si>
    <t>a. Update district level directory</t>
  </si>
  <si>
    <t xml:space="preserve">e. Dialogue with Union Parishad CTC </t>
  </si>
  <si>
    <t>f. School / Madrasah/ College sessions (TIE/TFD)</t>
  </si>
  <si>
    <t xml:space="preserve">g. Interactive session with Youth and CBO </t>
  </si>
  <si>
    <t>h. Refreshers training of CTIP activists</t>
  </si>
  <si>
    <t>b.  Interactive session with potential migrants at TTC</t>
  </si>
  <si>
    <t>c.  Dialogue with Law enforcement agencies and Media</t>
  </si>
  <si>
    <t>e. District level convention of CTIP activists &amp; Anirban</t>
  </si>
  <si>
    <t>Dhaka HO Finance/Program/ M&amp;E (partial)</t>
  </si>
  <si>
    <t xml:space="preserve">d. Sports competition/ beach campaign </t>
  </si>
  <si>
    <t xml:space="preserve">Agreement Number: </t>
  </si>
  <si>
    <t>6885-19-A-04</t>
  </si>
  <si>
    <t>ATTACHMENT B: PROGRAM BUDGET</t>
  </si>
  <si>
    <t xml:space="preserve">District:  </t>
  </si>
  <si>
    <t>Period of the financial statement:</t>
  </si>
  <si>
    <t>from:</t>
  </si>
  <si>
    <t>to:</t>
  </si>
  <si>
    <t>Approved Budget</t>
  </si>
  <si>
    <t>Cost Incurred in Previous Period</t>
  </si>
  <si>
    <t>Cost Incurred in Current Period</t>
  </si>
  <si>
    <t>Cumulative Expenditure to Date</t>
  </si>
  <si>
    <t>Balance</t>
  </si>
  <si>
    <t>A</t>
  </si>
  <si>
    <t>B</t>
  </si>
  <si>
    <t>C</t>
  </si>
  <si>
    <t>D=B+C</t>
  </si>
  <si>
    <t>E=A-D</t>
  </si>
  <si>
    <t>President (partial)</t>
  </si>
  <si>
    <t>Project Coordinator 100%</t>
  </si>
  <si>
    <t xml:space="preserve">Transfer of funds </t>
  </si>
  <si>
    <t>Balance of funds as per Financial Statement</t>
  </si>
  <si>
    <t>Payments received:</t>
  </si>
  <si>
    <t>Amount:</t>
  </si>
  <si>
    <t>Total funds</t>
  </si>
  <si>
    <t>Cumulative Expenditures:</t>
  </si>
  <si>
    <t>Balance of funds as on</t>
  </si>
  <si>
    <t>Proposed Period of the Advance:</t>
  </si>
  <si>
    <t>Amount of Advance Requested</t>
  </si>
  <si>
    <t>D</t>
  </si>
  <si>
    <t>E</t>
  </si>
  <si>
    <t>F</t>
  </si>
  <si>
    <t>G</t>
  </si>
  <si>
    <t>H</t>
  </si>
  <si>
    <t>I</t>
  </si>
  <si>
    <t>J</t>
  </si>
  <si>
    <t>ATTACHMENT C: FINANCIAL STATEMENT FORM</t>
  </si>
  <si>
    <t>ATTACHMENT D: ADVANCE REQUEST FORM</t>
  </si>
  <si>
    <t>Date: 20.11.2019</t>
  </si>
  <si>
    <t>Date: 31.12.2019 (Bank Interest)</t>
  </si>
  <si>
    <t>Prepared by</t>
  </si>
  <si>
    <t>Nasrin Ahmed</t>
  </si>
  <si>
    <t>Approved by</t>
  </si>
  <si>
    <t>Asst. Manager-Finane</t>
  </si>
  <si>
    <t>Date:18.12.2019</t>
  </si>
  <si>
    <t>01.01.2020</t>
  </si>
  <si>
    <t>31.01.2020</t>
  </si>
  <si>
    <t>Name of Organization: Bangladesh National Woman Lawyers' Association (BNWLA)</t>
  </si>
  <si>
    <t>Fund Balance Reconciliation Statement</t>
  </si>
  <si>
    <t>Particulars</t>
  </si>
  <si>
    <t>Taka</t>
  </si>
  <si>
    <t>Bank Book balance as per Bank Reconciliation Statement</t>
  </si>
  <si>
    <t>Added :</t>
  </si>
  <si>
    <t>Cash in Hand</t>
  </si>
  <si>
    <t>Advance</t>
  </si>
  <si>
    <t>Sub Total</t>
  </si>
  <si>
    <t>Less :</t>
  </si>
  <si>
    <t>VAT  Payable</t>
  </si>
  <si>
    <t xml:space="preserve"> TAX Payable</t>
  </si>
  <si>
    <t xml:space="preserve">Prepared by </t>
  </si>
  <si>
    <t xml:space="preserve">Approved by </t>
  </si>
  <si>
    <t>Project Name : Ashshash: For Men and Women Who Have Escaped Trafficking</t>
  </si>
  <si>
    <t>Nafiz Imtiaz Hasan</t>
  </si>
  <si>
    <t>Deputy Director</t>
  </si>
  <si>
    <t>Date: 18.05.2020</t>
  </si>
  <si>
    <t>Date:  31.05.2020</t>
  </si>
  <si>
    <t>Date:  30.06.2020</t>
  </si>
  <si>
    <t>1ACT. 2.4.10</t>
  </si>
  <si>
    <t>Provide special support (foods, health and hygiene kits) to the survivors during the emergency created by COVID-19 outbreak</t>
  </si>
  <si>
    <t>a. Provide special support to survivors</t>
  </si>
  <si>
    <t>Date:  28.07.2020</t>
  </si>
  <si>
    <t>Date:  08.09.2020</t>
  </si>
  <si>
    <t>Asst.  Manager-Finance</t>
  </si>
  <si>
    <t>Date:  18.10.2020</t>
  </si>
  <si>
    <t>01.12.2020</t>
  </si>
  <si>
    <t>31.12.2020</t>
  </si>
  <si>
    <t>Date:  30.11.2020</t>
  </si>
  <si>
    <t>As on December 31, 2020</t>
  </si>
  <si>
    <t>Balance as per fund balance of Financial statement form  as on  December 31, 2020</t>
  </si>
  <si>
    <t>Year 2 (Jan'21 to Oct'21) 10 Months</t>
  </si>
  <si>
    <t>Actual Expenditure up to Dec'20</t>
  </si>
  <si>
    <t>Total Budget (A)</t>
  </si>
  <si>
    <t>a. Develop and Update district level directory</t>
  </si>
  <si>
    <t>Budget Template for Social Protection Partners (SPP)</t>
  </si>
  <si>
    <t>Amendment 1</t>
  </si>
  <si>
    <t>Budget (BDT):</t>
  </si>
  <si>
    <t>Year 2 (12 months)</t>
  </si>
  <si>
    <t>Total Budget</t>
  </si>
  <si>
    <t>3 office rent</t>
  </si>
  <si>
    <t>PC and ED's travel costs</t>
  </si>
  <si>
    <t>Project Inception program</t>
  </si>
  <si>
    <t>Social Mobilizer's salary will be paid upon achieving monthly target</t>
  </si>
  <si>
    <t>No Cost</t>
  </si>
  <si>
    <t>Need based</t>
  </si>
  <si>
    <t>for each survivor</t>
  </si>
  <si>
    <t xml:space="preserve">Salary </t>
  </si>
  <si>
    <t xml:space="preserve">Travel cost for identification </t>
  </si>
  <si>
    <t>Counsellor's salary will be paid upon achieving monthly target</t>
  </si>
  <si>
    <t xml:space="preserve">Travel cost </t>
  </si>
  <si>
    <t>Travel cost, this can be done while Counselor is visiting to Victim</t>
  </si>
  <si>
    <t>no cost</t>
  </si>
  <si>
    <t xml:space="preserve">Upazilla based program 15 person </t>
  </si>
  <si>
    <t>3 daays program</t>
  </si>
  <si>
    <t>25 person per activity</t>
  </si>
  <si>
    <t>300 person per activity</t>
  </si>
  <si>
    <t>60 person per activity</t>
  </si>
  <si>
    <t>500 person per activity</t>
  </si>
  <si>
    <t>1000 person per activity</t>
  </si>
  <si>
    <t>150 person per activity</t>
  </si>
  <si>
    <t>30 person per activity</t>
  </si>
  <si>
    <t>1500 person per activity</t>
  </si>
  <si>
    <t>1000 person, after 6 months job retention</t>
  </si>
  <si>
    <t>BDT. 4500/ month for 2 months</t>
  </si>
  <si>
    <t>Approved Budget     (Nov'19-Apr'22) As per Ammend -1</t>
  </si>
  <si>
    <t>Achieved Unit up to Dec'20</t>
  </si>
  <si>
    <t>Previous Unit Cost</t>
  </si>
  <si>
    <t>e. Social Mobilizer's Salary</t>
  </si>
  <si>
    <t>f. Travel cost for Survivor Identification and Enrollment</t>
  </si>
  <si>
    <t>g.Life Skills Training</t>
  </si>
  <si>
    <t>b. Travel support for Survivor for health and legal support through referral (need based)</t>
  </si>
  <si>
    <t>e. Dialogue with Union Parishad CTC for allocating budget</t>
  </si>
  <si>
    <t xml:space="preserve">f. Interactive session with Youth and CBO </t>
  </si>
  <si>
    <t>g. Refreshers training of CTIP activists</t>
  </si>
  <si>
    <t>Dhaka HO Finance</t>
  </si>
  <si>
    <t>Monitoring Support from HO (Travel Cost)</t>
  </si>
  <si>
    <t>Dhaka HO Program Director/ Project Focal Person 15%</t>
  </si>
  <si>
    <t>d. Trauma counselling support by experts (Need Based)</t>
  </si>
  <si>
    <t>Modification 2</t>
  </si>
  <si>
    <t>d. Monitoring and Documentation Officer Salary (Based Cox's)</t>
  </si>
  <si>
    <t>1ACT.2.4.10</t>
  </si>
  <si>
    <t>d. Emergency support services for survivors (Health, Trauma Counselling, Shelter)</t>
  </si>
  <si>
    <t>b. School / Madrasha/ College sessions (TIE/TFD)</t>
  </si>
  <si>
    <t>Project Accounts &amp; Admin Officer 100% (Based Dhaka/ Cox'sBazar)</t>
  </si>
  <si>
    <t>h. District Level Consultation with CTC</t>
  </si>
  <si>
    <t>Year 3 (Nov'21 to Aug'22) 10 Months</t>
  </si>
  <si>
    <t>Period of the project:</t>
  </si>
  <si>
    <t>Unit type</t>
  </si>
  <si>
    <t>a</t>
  </si>
  <si>
    <t>b</t>
  </si>
  <si>
    <t>c</t>
  </si>
  <si>
    <t>e</t>
  </si>
  <si>
    <t>i</t>
  </si>
  <si>
    <t>Month</t>
  </si>
  <si>
    <t>Event</t>
  </si>
  <si>
    <t>Survivor</t>
  </si>
  <si>
    <t>Total</t>
  </si>
  <si>
    <t>Detail Budget for Ashshash Phase II</t>
  </si>
  <si>
    <t>Ashshash Phase II Indicator</t>
  </si>
  <si>
    <t>Total Proposed Budget</t>
  </si>
  <si>
    <t>d=b*c</t>
  </si>
  <si>
    <t>f</t>
  </si>
  <si>
    <t>g</t>
  </si>
  <si>
    <t>h=f*g</t>
  </si>
  <si>
    <t>j</t>
  </si>
  <si>
    <t>k</t>
  </si>
  <si>
    <t>l=j*k</t>
  </si>
  <si>
    <t>m</t>
  </si>
  <si>
    <t>n</t>
  </si>
  <si>
    <t>o</t>
  </si>
  <si>
    <t>p=n*o</t>
  </si>
  <si>
    <t>r</t>
  </si>
  <si>
    <t>Travel cost for HO Monitoring &amp; Support</t>
  </si>
  <si>
    <t>PROGRAM INTERVENTION COSTS</t>
  </si>
  <si>
    <t>1ACT.1.2</t>
  </si>
  <si>
    <t>1ACT.1.3</t>
  </si>
  <si>
    <t>1ACT.2.1</t>
  </si>
  <si>
    <t>1ACT.2.2</t>
  </si>
  <si>
    <t>1ACT.2.3</t>
  </si>
  <si>
    <t>Identify and Enrollment of the targeted beneficiary</t>
  </si>
  <si>
    <t>Sustainable Reintegration of Survivors through a holistic approach and service provision  </t>
  </si>
  <si>
    <t xml:space="preserve">Output 1.1 Survivors of trafficking are provided holistic care including psychosocial counseling, legal, and essential services </t>
  </si>
  <si>
    <t>Year-1 
(October 2023-December 2023)</t>
  </si>
  <si>
    <t>Year-2 
(January 2024-December 2024)</t>
  </si>
  <si>
    <t>Year-3 
(January 2025-December 2025)</t>
  </si>
  <si>
    <t>Year-4
(January 2026-December 2026)</t>
  </si>
  <si>
    <t>q</t>
  </si>
  <si>
    <t>s</t>
  </si>
  <si>
    <t>t=r*s</t>
  </si>
  <si>
    <t>u=d+h+i+p+t</t>
  </si>
  <si>
    <t>Output 1.2 Survivors of trafficking are provided training and resources to access new or better employment</t>
  </si>
  <si>
    <t xml:space="preserve">Output 1.3 Survivors of trafficking are offered access to finance and market </t>
  </si>
  <si>
    <t xml:space="preserve">Output 2.1 Communities are aware and trained on the prevention of human trafficking and reintegration services for survivors of trafficking </t>
  </si>
  <si>
    <t>Output 2.2 Public/private institution developed capacity to provide improved social protection and legal support to survivors of trafficking</t>
  </si>
  <si>
    <t xml:space="preserve">Output 2.3 Public and private sectors stakeholders influenced policies/procedures to support sustainable reintegration for survivors of trafficking </t>
  </si>
  <si>
    <t>Ashshash Phase II</t>
  </si>
  <si>
    <t>Accounting Software</t>
  </si>
  <si>
    <t>Yearly</t>
  </si>
  <si>
    <t>Other Administrative Costs</t>
  </si>
  <si>
    <t>Year-5
(January 2027-February 2027)</t>
  </si>
  <si>
    <t>District-A</t>
  </si>
  <si>
    <t>District-B</t>
  </si>
  <si>
    <t>October 2023- February 2027</t>
  </si>
  <si>
    <t>3 Years 4 Months</t>
  </si>
  <si>
    <t>For the period of October 2023- February 2027</t>
  </si>
  <si>
    <t>Name of Organization:</t>
  </si>
  <si>
    <t>Grand total</t>
  </si>
  <si>
    <t xml:space="preserve">Summary of Proposed Budget </t>
  </si>
  <si>
    <t>ZZZZZ</t>
  </si>
  <si>
    <t>ZZZZZZ</t>
  </si>
  <si>
    <t>Key Notes:</t>
  </si>
  <si>
    <t>02. Please insert row/rows as required under specific head/activity and use formula from previous cell</t>
  </si>
  <si>
    <t>03. We have considered inflation @4% from year-3 and onward</t>
  </si>
  <si>
    <t>01. Donot Change the budget format and formula</t>
  </si>
  <si>
    <t>OPERATIONAL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</si>
</sst>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0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b/>
      <u/>
      <sz val="25"/>
      <name val="Arial"/>
      <family val="2"/>
    </font>
    <font>
      <sz val="12"/>
      <color theme="1"/>
      <name val="Calibri"/>
      <family val="2"/>
      <scheme val="minor"/>
    </font>
    <font>
      <b/>
      <sz val="11"/>
      <name val="Helv"/>
    </font>
    <font>
      <sz val="11"/>
      <name val="Helv"/>
      <family val="2"/>
    </font>
    <font>
      <b/>
      <sz val="11"/>
      <name val="Calibri"/>
      <family val="2"/>
      <scheme val="minor"/>
    </font>
    <font>
      <b/>
      <sz val="12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sz val="10"/>
      <name val="Rotis Semisans"/>
    </font>
    <font>
      <b/>
      <sz val="9"/>
      <name val="Arial Narrow"/>
      <family val="2"/>
    </font>
    <font>
      <b/>
      <sz val="14"/>
      <color theme="0"/>
      <name val="Arial"/>
      <family val="2"/>
    </font>
    <font>
      <sz val="11"/>
      <name val="Helv"/>
    </font>
    <font>
      <b/>
      <sz val="11"/>
      <name val="Arial"/>
      <family val="2"/>
    </font>
    <font>
      <b/>
      <sz val="25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54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9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2" fillId="0" borderId="1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5" fontId="5" fillId="0" borderId="0" xfId="2" quotePrefix="1" applyNumberFormat="1" applyFont="1" applyAlignment="1">
      <alignment vertical="center"/>
    </xf>
    <xf numFmtId="6" fontId="5" fillId="0" borderId="0" xfId="2" applyNumberFormat="1" applyFont="1" applyAlignment="1">
      <alignment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6" xfId="2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5" borderId="1" xfId="2" applyNumberFormat="1" applyFont="1" applyFill="1" applyBorder="1" applyAlignment="1">
      <alignment horizontal="left" vertical="center" wrapText="1"/>
    </xf>
    <xf numFmtId="49" fontId="5" fillId="5" borderId="1" xfId="2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49" fontId="2" fillId="2" borderId="1" xfId="2" applyNumberFormat="1" applyFont="1" applyFill="1" applyBorder="1" applyAlignment="1">
      <alignment horizontal="left" vertical="center" wrapText="1"/>
    </xf>
    <xf numFmtId="49" fontId="2" fillId="0" borderId="1" xfId="2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64" fontId="5" fillId="0" borderId="0" xfId="2" applyNumberFormat="1" applyFont="1" applyAlignment="1">
      <alignment vertical="center"/>
    </xf>
    <xf numFmtId="43" fontId="5" fillId="0" borderId="0" xfId="2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vertical="center"/>
    </xf>
    <xf numFmtId="0" fontId="2" fillId="8" borderId="12" xfId="0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5" fillId="5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2" applyFont="1" applyFill="1" applyAlignment="1">
      <alignment vertical="center"/>
    </xf>
    <xf numFmtId="164" fontId="9" fillId="0" borderId="0" xfId="2" applyNumberFormat="1" applyFont="1" applyFill="1" applyAlignment="1">
      <alignment vertical="center"/>
    </xf>
    <xf numFmtId="9" fontId="9" fillId="0" borderId="0" xfId="3" applyFont="1" applyFill="1" applyAlignment="1">
      <alignment vertical="center"/>
    </xf>
    <xf numFmtId="164" fontId="9" fillId="0" borderId="0" xfId="1" applyNumberFormat="1" applyFont="1" applyFill="1" applyAlignment="1">
      <alignment vertical="center"/>
    </xf>
    <xf numFmtId="43" fontId="9" fillId="0" borderId="0" xfId="2" applyNumberFormat="1" applyFont="1" applyFill="1" applyAlignment="1">
      <alignment vertical="center"/>
    </xf>
    <xf numFmtId="0" fontId="9" fillId="0" borderId="0" xfId="2" applyFont="1" applyFill="1" applyBorder="1" applyAlignment="1">
      <alignment vertical="center"/>
    </xf>
    <xf numFmtId="43" fontId="9" fillId="0" borderId="0" xfId="2" applyNumberFormat="1" applyFont="1" applyFill="1" applyBorder="1" applyAlignment="1">
      <alignment vertical="center"/>
    </xf>
    <xf numFmtId="1" fontId="9" fillId="0" borderId="0" xfId="2" applyNumberFormat="1" applyFont="1" applyFill="1" applyBorder="1" applyAlignment="1">
      <alignment vertical="center"/>
    </xf>
    <xf numFmtId="15" fontId="9" fillId="0" borderId="0" xfId="2" quotePrefix="1" applyNumberFormat="1" applyFont="1" applyFill="1" applyAlignment="1">
      <alignment vertical="center"/>
    </xf>
    <xf numFmtId="165" fontId="9" fillId="0" borderId="0" xfId="2" quotePrefix="1" applyNumberFormat="1" applyFont="1" applyFill="1" applyAlignment="1">
      <alignment vertical="center"/>
    </xf>
    <xf numFmtId="0" fontId="9" fillId="0" borderId="0" xfId="2" applyFont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1" applyNumberFormat="1" applyFont="1" applyAlignment="1">
      <alignment horizontal="left" vertical="top" wrapText="1"/>
    </xf>
    <xf numFmtId="164" fontId="2" fillId="0" borderId="0" xfId="1" applyNumberFormat="1" applyFont="1" applyBorder="1" applyAlignment="1">
      <alignment vertical="top"/>
    </xf>
    <xf numFmtId="0" fontId="2" fillId="0" borderId="0" xfId="2" applyFont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4" fontId="13" fillId="0" borderId="0" xfId="5" applyNumberFormat="1" applyFont="1" applyFill="1" applyBorder="1" applyAlignment="1" applyProtection="1">
      <alignment vertical="center"/>
    </xf>
    <xf numFmtId="14" fontId="13" fillId="9" borderId="0" xfId="5" applyNumberFormat="1" applyFont="1" applyFill="1" applyBorder="1" applyAlignment="1" applyProtection="1">
      <alignment vertical="center"/>
      <protection locked="0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Alignment="1">
      <alignment vertical="top"/>
    </xf>
    <xf numFmtId="164" fontId="5" fillId="7" borderId="6" xfId="1" applyNumberFormat="1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left" vertical="top" wrapText="1"/>
    </xf>
    <xf numFmtId="49" fontId="5" fillId="0" borderId="0" xfId="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left" vertical="top" wrapText="1"/>
    </xf>
    <xf numFmtId="164" fontId="5" fillId="3" borderId="1" xfId="1" applyNumberFormat="1" applyFont="1" applyFill="1" applyBorder="1" applyAlignment="1">
      <alignment horizontal="left" vertical="top" wrapText="1"/>
    </xf>
    <xf numFmtId="0" fontId="5" fillId="3" borderId="4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left" vertical="center" wrapText="1"/>
    </xf>
    <xf numFmtId="49" fontId="2" fillId="0" borderId="0" xfId="2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left" vertical="top" wrapText="1"/>
    </xf>
    <xf numFmtId="49" fontId="2" fillId="0" borderId="4" xfId="2" applyNumberFormat="1" applyFont="1" applyFill="1" applyBorder="1" applyAlignment="1">
      <alignment horizontal="left" vertical="center" wrapText="1"/>
    </xf>
    <xf numFmtId="164" fontId="2" fillId="0" borderId="1" xfId="1" applyNumberFormat="1" applyFont="1" applyBorder="1" applyAlignment="1">
      <alignment vertical="top"/>
    </xf>
    <xf numFmtId="164" fontId="5" fillId="0" borderId="1" xfId="1" applyNumberFormat="1" applyFont="1" applyFill="1" applyBorder="1" applyAlignment="1">
      <alignment horizontal="left" vertical="top" wrapText="1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5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vertical="center" wrapText="1"/>
    </xf>
    <xf numFmtId="0" fontId="14" fillId="0" borderId="0" xfId="5" applyFont="1" applyFill="1" applyBorder="1"/>
    <xf numFmtId="4" fontId="14" fillId="0" borderId="0" xfId="5" applyNumberFormat="1" applyFont="1" applyFill="1" applyBorder="1"/>
    <xf numFmtId="4" fontId="14" fillId="0" borderId="0" xfId="5" applyNumberFormat="1" applyFont="1" applyFill="1" applyBorder="1" applyAlignment="1">
      <alignment horizontal="center"/>
    </xf>
    <xf numFmtId="0" fontId="14" fillId="0" borderId="0" xfId="5" applyFont="1" applyFill="1" applyBorder="1" applyAlignment="1">
      <alignment horizontal="center"/>
    </xf>
    <xf numFmtId="3" fontId="13" fillId="10" borderId="0" xfId="5" applyNumberFormat="1" applyFont="1" applyFill="1" applyBorder="1" applyAlignment="1">
      <alignment horizontal="left"/>
    </xf>
    <xf numFmtId="4" fontId="14" fillId="0" borderId="0" xfId="5" applyNumberFormat="1" applyFont="1" applyFill="1" applyBorder="1" applyAlignment="1">
      <alignment horizontal="left"/>
    </xf>
    <xf numFmtId="0" fontId="14" fillId="10" borderId="0" xfId="5" applyFont="1" applyFill="1" applyBorder="1" applyAlignment="1">
      <alignment horizontal="center"/>
    </xf>
    <xf numFmtId="0" fontId="13" fillId="0" borderId="0" xfId="5" applyFont="1" applyFill="1" applyBorder="1"/>
    <xf numFmtId="4" fontId="13" fillId="0" borderId="0" xfId="5" applyNumberFormat="1" applyFont="1" applyFill="1" applyBorder="1"/>
    <xf numFmtId="0" fontId="5" fillId="4" borderId="9" xfId="2" applyFont="1" applyFill="1" applyBorder="1" applyAlignment="1">
      <alignment horizontal="left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/>
    </xf>
    <xf numFmtId="164" fontId="5" fillId="5" borderId="4" xfId="1" applyNumberFormat="1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164" fontId="5" fillId="6" borderId="15" xfId="1" applyNumberFormat="1" applyFont="1" applyFill="1" applyBorder="1" applyAlignment="1">
      <alignment vertical="center" wrapText="1"/>
    </xf>
    <xf numFmtId="164" fontId="5" fillId="6" borderId="16" xfId="1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164" fontId="5" fillId="4" borderId="1" xfId="1" applyNumberFormat="1" applyFont="1" applyFill="1" applyBorder="1" applyAlignment="1">
      <alignment horizontal="center" vertical="top" wrapText="1"/>
    </xf>
    <xf numFmtId="0" fontId="5" fillId="4" borderId="1" xfId="2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8" xfId="2" applyFont="1" applyFill="1" applyBorder="1" applyAlignment="1">
      <alignment horizontal="center" vertical="center" wrapText="1"/>
    </xf>
    <xf numFmtId="164" fontId="5" fillId="7" borderId="18" xfId="1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7" borderId="19" xfId="2" applyFont="1" applyFill="1" applyBorder="1" applyAlignment="1">
      <alignment horizontal="center" vertical="center" wrapText="1"/>
    </xf>
    <xf numFmtId="0" fontId="5" fillId="4" borderId="20" xfId="2" applyFont="1" applyFill="1" applyBorder="1" applyAlignment="1">
      <alignment horizontal="center" vertical="center" wrapText="1"/>
    </xf>
    <xf numFmtId="164" fontId="5" fillId="5" borderId="20" xfId="1" applyNumberFormat="1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5" fillId="3" borderId="20" xfId="2" applyFont="1" applyFill="1" applyBorder="1" applyAlignment="1">
      <alignment horizontal="left" vertical="center" wrapText="1"/>
    </xf>
    <xf numFmtId="49" fontId="2" fillId="2" borderId="20" xfId="2" applyNumberFormat="1" applyFont="1" applyFill="1" applyBorder="1" applyAlignment="1">
      <alignment horizontal="left" vertical="center" wrapText="1"/>
    </xf>
    <xf numFmtId="49" fontId="2" fillId="0" borderId="20" xfId="2" applyNumberFormat="1" applyFont="1" applyFill="1" applyBorder="1" applyAlignment="1">
      <alignment horizontal="left" vertical="center" wrapText="1"/>
    </xf>
    <xf numFmtId="0" fontId="2" fillId="0" borderId="20" xfId="0" applyFont="1" applyBorder="1" applyAlignment="1">
      <alignment vertical="center"/>
    </xf>
    <xf numFmtId="49" fontId="5" fillId="0" borderId="20" xfId="2" applyNumberFormat="1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 wrapText="1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5" fillId="5" borderId="23" xfId="1" applyNumberFormat="1" applyFont="1" applyFill="1" applyBorder="1" applyAlignment="1">
      <alignment horizontal="left" vertical="top" wrapText="1"/>
    </xf>
    <xf numFmtId="0" fontId="5" fillId="4" borderId="1" xfId="2" applyFont="1" applyFill="1" applyBorder="1" applyAlignment="1">
      <alignment horizontal="center" vertical="center"/>
    </xf>
    <xf numFmtId="0" fontId="5" fillId="7" borderId="24" xfId="2" applyFont="1" applyFill="1" applyBorder="1" applyAlignment="1">
      <alignment horizontal="center" vertical="center" wrapText="1"/>
    </xf>
    <xf numFmtId="15" fontId="13" fillId="10" borderId="0" xfId="5" applyNumberFormat="1" applyFont="1" applyFill="1" applyBorder="1" applyAlignment="1"/>
    <xf numFmtId="3" fontId="14" fillId="10" borderId="0" xfId="5" applyNumberFormat="1" applyFont="1" applyFill="1" applyBorder="1" applyAlignment="1">
      <alignment horizontal="right"/>
    </xf>
    <xf numFmtId="4" fontId="14" fillId="10" borderId="0" xfId="5" applyNumberFormat="1" applyFont="1" applyFill="1" applyBorder="1" applyAlignment="1">
      <alignment horizontal="right"/>
    </xf>
    <xf numFmtId="4" fontId="14" fillId="0" borderId="0" xfId="5" applyNumberFormat="1" applyFont="1" applyFill="1" applyBorder="1" applyAlignment="1">
      <alignment horizontal="right"/>
    </xf>
    <xf numFmtId="3" fontId="13" fillId="11" borderId="0" xfId="5" applyNumberFormat="1" applyFont="1" applyFill="1" applyBorder="1" applyAlignment="1">
      <alignment horizontal="right"/>
    </xf>
    <xf numFmtId="43" fontId="2" fillId="0" borderId="0" xfId="1" applyFont="1" applyAlignment="1">
      <alignment vertical="center"/>
    </xf>
    <xf numFmtId="164" fontId="14" fillId="10" borderId="0" xfId="1" applyNumberFormat="1" applyFont="1" applyFill="1" applyBorder="1" applyAlignment="1">
      <alignment horizontal="right"/>
    </xf>
    <xf numFmtId="164" fontId="5" fillId="0" borderId="0" xfId="1" applyNumberFormat="1" applyFont="1" applyAlignment="1">
      <alignment vertical="top"/>
    </xf>
    <xf numFmtId="164" fontId="2" fillId="2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0" fontId="18" fillId="0" borderId="0" xfId="7" applyFont="1" applyBorder="1" applyAlignment="1">
      <alignment vertical="center"/>
    </xf>
    <xf numFmtId="0" fontId="17" fillId="0" borderId="0" xfId="7" applyFont="1" applyBorder="1" applyAlignment="1">
      <alignment horizontal="center" vertical="center"/>
    </xf>
    <xf numFmtId="0" fontId="19" fillId="0" borderId="0" xfId="7" applyFont="1" applyBorder="1" applyAlignment="1">
      <alignment vertical="center"/>
    </xf>
    <xf numFmtId="164" fontId="19" fillId="0" borderId="0" xfId="1" applyNumberFormat="1" applyFont="1" applyBorder="1" applyAlignment="1">
      <alignment vertical="center"/>
    </xf>
    <xf numFmtId="164" fontId="17" fillId="4" borderId="30" xfId="1" applyNumberFormat="1" applyFont="1" applyFill="1" applyBorder="1" applyAlignment="1">
      <alignment horizontal="center" vertical="center" wrapText="1"/>
    </xf>
    <xf numFmtId="0" fontId="17" fillId="4" borderId="31" xfId="7" applyFont="1" applyFill="1" applyBorder="1" applyAlignment="1">
      <alignment horizontal="center" vertical="center" wrapText="1"/>
    </xf>
    <xf numFmtId="43" fontId="17" fillId="0" borderId="4" xfId="1" applyFont="1" applyBorder="1" applyAlignment="1">
      <alignment vertical="center"/>
    </xf>
    <xf numFmtId="0" fontId="17" fillId="0" borderId="33" xfId="7" applyFont="1" applyBorder="1" applyAlignment="1">
      <alignment vertical="center"/>
    </xf>
    <xf numFmtId="0" fontId="20" fillId="0" borderId="34" xfId="7" applyFont="1" applyBorder="1" applyAlignment="1">
      <alignment vertical="center"/>
    </xf>
    <xf numFmtId="0" fontId="20" fillId="0" borderId="35" xfId="7" applyFont="1" applyBorder="1" applyAlignment="1">
      <alignment horizontal="left" vertical="center"/>
    </xf>
    <xf numFmtId="0" fontId="17" fillId="0" borderId="35" xfId="7" applyFont="1" applyBorder="1" applyAlignment="1">
      <alignment vertical="center" wrapText="1"/>
    </xf>
    <xf numFmtId="43" fontId="20" fillId="0" borderId="36" xfId="8" applyFont="1" applyFill="1" applyBorder="1" applyAlignment="1">
      <alignment vertical="center"/>
    </xf>
    <xf numFmtId="43" fontId="19" fillId="0" borderId="37" xfId="8" applyFont="1" applyBorder="1" applyAlignment="1">
      <alignment vertical="center"/>
    </xf>
    <xf numFmtId="0" fontId="19" fillId="0" borderId="29" xfId="7" applyFont="1" applyBorder="1" applyAlignment="1">
      <alignment horizontal="right" vertical="center"/>
    </xf>
    <xf numFmtId="164" fontId="17" fillId="0" borderId="0" xfId="1" applyNumberFormat="1" applyFont="1" applyBorder="1" applyAlignment="1">
      <alignment vertical="center"/>
    </xf>
    <xf numFmtId="43" fontId="17" fillId="0" borderId="37" xfId="8" applyFont="1" applyBorder="1" applyAlignment="1">
      <alignment vertical="center"/>
    </xf>
    <xf numFmtId="43" fontId="17" fillId="4" borderId="16" xfId="1" applyFont="1" applyFill="1" applyBorder="1" applyAlignment="1">
      <alignment vertical="center"/>
    </xf>
    <xf numFmtId="0" fontId="17" fillId="0" borderId="0" xfId="7" applyFont="1" applyBorder="1" applyAlignment="1">
      <alignment horizontal="left" vertical="center" wrapText="1"/>
    </xf>
    <xf numFmtId="0" fontId="19" fillId="0" borderId="0" xfId="7" applyFont="1" applyBorder="1" applyAlignment="1">
      <alignment horizontal="left" vertical="center" wrapText="1"/>
    </xf>
    <xf numFmtId="164" fontId="19" fillId="0" borderId="0" xfId="1" applyNumberFormat="1" applyFont="1" applyBorder="1" applyAlignment="1">
      <alignment horizontal="left" vertical="center" wrapText="1"/>
    </xf>
    <xf numFmtId="0" fontId="21" fillId="0" borderId="0" xfId="7" applyFont="1" applyBorder="1" applyAlignment="1">
      <alignment vertical="center"/>
    </xf>
    <xf numFmtId="0" fontId="21" fillId="0" borderId="0" xfId="7" applyFont="1" applyBorder="1" applyAlignment="1">
      <alignment horizontal="left" vertical="center"/>
    </xf>
    <xf numFmtId="0" fontId="17" fillId="0" borderId="0" xfId="7" applyFont="1" applyBorder="1" applyAlignment="1">
      <alignment vertical="center"/>
    </xf>
    <xf numFmtId="164" fontId="17" fillId="0" borderId="0" xfId="1" applyNumberFormat="1" applyFont="1" applyBorder="1" applyAlignment="1">
      <alignment horizontal="center" vertical="center"/>
    </xf>
    <xf numFmtId="43" fontId="17" fillId="0" borderId="0" xfId="7" applyNumberFormat="1" applyFont="1" applyBorder="1" applyAlignment="1">
      <alignment horizontal="center" vertical="center"/>
    </xf>
    <xf numFmtId="0" fontId="19" fillId="0" borderId="0" xfId="7" applyFont="1" applyBorder="1" applyAlignment="1">
      <alignment horizontal="left" vertical="center"/>
    </xf>
    <xf numFmtId="43" fontId="17" fillId="0" borderId="33" xfId="1" applyFont="1" applyBorder="1" applyAlignment="1">
      <alignment vertical="center"/>
    </xf>
    <xf numFmtId="164" fontId="5" fillId="12" borderId="1" xfId="1" applyNumberFormat="1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vertical="center" wrapText="1"/>
    </xf>
    <xf numFmtId="0" fontId="5" fillId="4" borderId="21" xfId="2" applyFont="1" applyFill="1" applyBorder="1" applyAlignment="1">
      <alignment vertical="center" wrapText="1"/>
    </xf>
    <xf numFmtId="0" fontId="5" fillId="4" borderId="22" xfId="2" applyFont="1" applyFill="1" applyBorder="1" applyAlignment="1">
      <alignment vertical="center" wrapText="1"/>
    </xf>
    <xf numFmtId="43" fontId="13" fillId="11" borderId="0" xfId="1" applyNumberFormat="1" applyFont="1" applyFill="1" applyBorder="1" applyAlignment="1"/>
    <xf numFmtId="43" fontId="0" fillId="0" borderId="0" xfId="0" applyNumberFormat="1"/>
    <xf numFmtId="164" fontId="5" fillId="4" borderId="21" xfId="2" applyNumberFormat="1" applyFont="1" applyFill="1" applyBorder="1" applyAlignment="1">
      <alignment vertical="center" wrapText="1"/>
    </xf>
    <xf numFmtId="0" fontId="5" fillId="12" borderId="1" xfId="0" applyFont="1" applyFill="1" applyBorder="1" applyAlignment="1">
      <alignment horizontal="center" vertical="center"/>
    </xf>
    <xf numFmtId="49" fontId="5" fillId="12" borderId="1" xfId="2" applyNumberFormat="1" applyFont="1" applyFill="1" applyBorder="1" applyAlignment="1">
      <alignment horizontal="left" vertical="center" wrapText="1"/>
    </xf>
    <xf numFmtId="49" fontId="2" fillId="0" borderId="1" xfId="2" applyNumberForma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Alignment="1">
      <alignment horizontal="center" vertical="top"/>
    </xf>
    <xf numFmtId="43" fontId="2" fillId="2" borderId="1" xfId="1" applyFont="1" applyFill="1" applyBorder="1" applyAlignment="1">
      <alignment horizontal="left" vertical="center" wrapText="1"/>
    </xf>
    <xf numFmtId="164" fontId="2" fillId="5" borderId="1" xfId="1" applyNumberFormat="1" applyFont="1" applyFill="1" applyBorder="1" applyAlignment="1">
      <alignment vertical="center"/>
    </xf>
    <xf numFmtId="164" fontId="2" fillId="5" borderId="1" xfId="1" applyNumberFormat="1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164" fontId="5" fillId="5" borderId="0" xfId="1" applyNumberFormat="1" applyFont="1" applyFill="1" applyBorder="1" applyAlignment="1">
      <alignment horizontal="left" vertical="top" wrapText="1"/>
    </xf>
    <xf numFmtId="164" fontId="5" fillId="0" borderId="0" xfId="1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64" fontId="2" fillId="2" borderId="1" xfId="0" applyNumberFormat="1" applyFont="1" applyFill="1" applyBorder="1" applyAlignment="1">
      <alignment horizontal="left" vertical="center"/>
    </xf>
    <xf numFmtId="0" fontId="5" fillId="7" borderId="4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3" xfId="2" applyFont="1" applyFill="1" applyBorder="1" applyAlignment="1">
      <alignment horizontal="center" vertical="center" wrapText="1"/>
    </xf>
    <xf numFmtId="0" fontId="5" fillId="7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49" fontId="5" fillId="5" borderId="22" xfId="2" applyNumberFormat="1" applyFont="1" applyFill="1" applyBorder="1" applyAlignment="1">
      <alignment horizontal="left" vertical="center" wrapText="1"/>
    </xf>
    <xf numFmtId="164" fontId="5" fillId="5" borderId="22" xfId="1" applyNumberFormat="1" applyFont="1" applyFill="1" applyBorder="1" applyAlignment="1">
      <alignment vertical="center"/>
    </xf>
    <xf numFmtId="164" fontId="5" fillId="5" borderId="22" xfId="1" applyNumberFormat="1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left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/>
    </xf>
    <xf numFmtId="164" fontId="5" fillId="0" borderId="0" xfId="1" applyNumberFormat="1" applyFont="1" applyFill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2" fillId="0" borderId="0" xfId="6" applyAlignment="1">
      <alignment horizontal="center" vertical="center"/>
    </xf>
    <xf numFmtId="0" fontId="5" fillId="0" borderId="0" xfId="6" applyFont="1" applyAlignment="1">
      <alignment horizontal="left" vertical="center" wrapText="1"/>
    </xf>
    <xf numFmtId="0" fontId="2" fillId="0" borderId="0" xfId="6" applyAlignment="1">
      <alignment vertical="center"/>
    </xf>
    <xf numFmtId="0" fontId="2" fillId="0" borderId="11" xfId="2" applyBorder="1" applyAlignment="1">
      <alignment vertical="center"/>
    </xf>
    <xf numFmtId="0" fontId="2" fillId="0" borderId="0" xfId="2" applyAlignment="1">
      <alignment vertical="center"/>
    </xf>
    <xf numFmtId="0" fontId="5" fillId="0" borderId="0" xfId="6" applyFont="1" applyAlignment="1">
      <alignment vertical="center"/>
    </xf>
    <xf numFmtId="4" fontId="13" fillId="0" borderId="0" xfId="5" applyNumberFormat="1" applyFont="1" applyAlignment="1">
      <alignment vertical="center"/>
    </xf>
    <xf numFmtId="14" fontId="13" fillId="9" borderId="0" xfId="5" applyNumberFormat="1" applyFont="1" applyFill="1" applyAlignment="1" applyProtection="1">
      <alignment vertical="center"/>
      <protection locked="0"/>
    </xf>
    <xf numFmtId="164" fontId="2" fillId="0" borderId="0" xfId="6" applyNumberFormat="1" applyAlignment="1">
      <alignment vertical="center"/>
    </xf>
    <xf numFmtId="0" fontId="2" fillId="8" borderId="12" xfId="6" applyFill="1" applyBorder="1" applyAlignment="1">
      <alignment horizontal="center" vertical="center"/>
    </xf>
    <xf numFmtId="0" fontId="2" fillId="0" borderId="11" xfId="6" applyBorder="1" applyAlignment="1">
      <alignment vertical="center"/>
    </xf>
    <xf numFmtId="0" fontId="5" fillId="7" borderId="17" xfId="6" applyFont="1" applyFill="1" applyBorder="1" applyAlignment="1">
      <alignment horizontal="center" vertical="center" wrapText="1"/>
    </xf>
    <xf numFmtId="0" fontId="5" fillId="7" borderId="18" xfId="6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2" fillId="4" borderId="3" xfId="6" applyFill="1" applyBorder="1" applyAlignment="1">
      <alignment horizontal="center" vertical="center"/>
    </xf>
    <xf numFmtId="0" fontId="2" fillId="4" borderId="1" xfId="6" applyFill="1" applyBorder="1" applyAlignment="1">
      <alignment horizontal="center" vertical="center"/>
    </xf>
    <xf numFmtId="0" fontId="5" fillId="5" borderId="3" xfId="6" applyFont="1" applyFill="1" applyBorder="1" applyAlignment="1">
      <alignment horizontal="center" vertical="center"/>
    </xf>
    <xf numFmtId="0" fontId="5" fillId="5" borderId="1" xfId="6" applyFont="1" applyFill="1" applyBorder="1" applyAlignment="1">
      <alignment horizontal="center" vertical="center"/>
    </xf>
    <xf numFmtId="49" fontId="5" fillId="0" borderId="0" xfId="2" applyNumberFormat="1" applyFont="1" applyAlignment="1">
      <alignment horizontal="left" vertical="center" wrapText="1"/>
    </xf>
    <xf numFmtId="0" fontId="2" fillId="0" borderId="3" xfId="6" applyBorder="1" applyAlignment="1">
      <alignment horizontal="center" vertical="center"/>
    </xf>
    <xf numFmtId="0" fontId="2" fillId="0" borderId="1" xfId="6" applyBorder="1" applyAlignment="1">
      <alignment horizontal="center" vertical="center"/>
    </xf>
    <xf numFmtId="0" fontId="2" fillId="2" borderId="1" xfId="6" applyFill="1" applyBorder="1" applyAlignment="1">
      <alignment horizontal="left" vertical="center"/>
    </xf>
    <xf numFmtId="164" fontId="2" fillId="2" borderId="1" xfId="6" applyNumberFormat="1" applyFill="1" applyBorder="1" applyAlignment="1">
      <alignment horizontal="left" vertical="center"/>
    </xf>
    <xf numFmtId="0" fontId="2" fillId="0" borderId="0" xfId="6" applyAlignment="1">
      <alignment horizontal="left" vertical="center"/>
    </xf>
    <xf numFmtId="0" fontId="2" fillId="0" borderId="0" xfId="6" applyAlignment="1">
      <alignment horizontal="left" vertical="center" wrapText="1"/>
    </xf>
    <xf numFmtId="0" fontId="2" fillId="2" borderId="1" xfId="6" applyFill="1" applyBorder="1" applyAlignment="1">
      <alignment horizontal="left" vertical="center" wrapText="1"/>
    </xf>
    <xf numFmtId="0" fontId="2" fillId="0" borderId="1" xfId="6" applyBorder="1" applyAlignment="1">
      <alignment horizontal="left" vertical="center" wrapText="1"/>
    </xf>
    <xf numFmtId="0" fontId="2" fillId="3" borderId="3" xfId="6" applyFill="1" applyBorder="1" applyAlignment="1">
      <alignment horizontal="center" vertical="center"/>
    </xf>
    <xf numFmtId="0" fontId="2" fillId="3" borderId="1" xfId="6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49" fontId="2" fillId="2" borderId="1" xfId="2" applyNumberFormat="1" applyFill="1" applyBorder="1" applyAlignment="1">
      <alignment horizontal="left" vertical="center" wrapText="1"/>
    </xf>
    <xf numFmtId="49" fontId="2" fillId="0" borderId="0" xfId="2" applyNumberFormat="1" applyAlignment="1">
      <alignment horizontal="left" vertical="center" wrapText="1"/>
    </xf>
    <xf numFmtId="0" fontId="2" fillId="0" borderId="1" xfId="6" applyBorder="1" applyAlignment="1">
      <alignment vertical="center"/>
    </xf>
    <xf numFmtId="0" fontId="5" fillId="0" borderId="3" xfId="6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left" vertical="center" wrapText="1"/>
    </xf>
    <xf numFmtId="0" fontId="5" fillId="12" borderId="1" xfId="6" applyFont="1" applyFill="1" applyBorder="1" applyAlignment="1">
      <alignment horizontal="center" vertical="center"/>
    </xf>
    <xf numFmtId="0" fontId="5" fillId="6" borderId="14" xfId="6" applyFont="1" applyFill="1" applyBorder="1" applyAlignment="1">
      <alignment horizontal="center" vertical="center"/>
    </xf>
    <xf numFmtId="0" fontId="5" fillId="6" borderId="15" xfId="6" applyFont="1" applyFill="1" applyBorder="1" applyAlignment="1">
      <alignment horizontal="center" vertical="center"/>
    </xf>
    <xf numFmtId="0" fontId="5" fillId="0" borderId="0" xfId="2" applyFont="1" applyAlignment="1">
      <alignment vertical="center" wrapText="1"/>
    </xf>
    <xf numFmtId="0" fontId="14" fillId="0" borderId="0" xfId="5" applyFont="1"/>
    <xf numFmtId="4" fontId="14" fillId="0" borderId="0" xfId="5" applyNumberFormat="1" applyFont="1"/>
    <xf numFmtId="4" fontId="14" fillId="0" borderId="0" xfId="5" applyNumberFormat="1" applyFont="1" applyAlignment="1">
      <alignment horizontal="center"/>
    </xf>
    <xf numFmtId="0" fontId="14" fillId="0" borderId="0" xfId="5" applyFont="1" applyAlignment="1">
      <alignment horizontal="center"/>
    </xf>
    <xf numFmtId="3" fontId="13" fillId="10" borderId="0" xfId="5" applyNumberFormat="1" applyFont="1" applyFill="1" applyAlignment="1">
      <alignment horizontal="left"/>
    </xf>
    <xf numFmtId="4" fontId="14" fillId="0" borderId="0" xfId="5" applyNumberFormat="1" applyFont="1" applyAlignment="1">
      <alignment horizontal="left"/>
    </xf>
    <xf numFmtId="0" fontId="14" fillId="10" borderId="0" xfId="5" applyFont="1" applyFill="1" applyAlignment="1">
      <alignment horizontal="center"/>
    </xf>
    <xf numFmtId="3" fontId="14" fillId="10" borderId="0" xfId="5" applyNumberFormat="1" applyFont="1" applyFill="1" applyAlignment="1">
      <alignment horizontal="right"/>
    </xf>
    <xf numFmtId="4" fontId="14" fillId="10" borderId="0" xfId="5" applyNumberFormat="1" applyFont="1" applyFill="1" applyAlignment="1">
      <alignment horizontal="right"/>
    </xf>
    <xf numFmtId="4" fontId="14" fillId="0" borderId="0" xfId="5" applyNumberFormat="1" applyFont="1" applyAlignment="1">
      <alignment horizontal="right"/>
    </xf>
    <xf numFmtId="0" fontId="2" fillId="0" borderId="0" xfId="6" applyAlignment="1">
      <alignment vertical="center" wrapText="1"/>
    </xf>
    <xf numFmtId="0" fontId="13" fillId="0" borderId="0" xfId="5" applyFont="1"/>
    <xf numFmtId="4" fontId="13" fillId="0" borderId="0" xfId="5" applyNumberFormat="1" applyFont="1"/>
    <xf numFmtId="3" fontId="13" fillId="11" borderId="0" xfId="5" applyNumberFormat="1" applyFont="1" applyFill="1" applyAlignment="1">
      <alignment horizontal="right"/>
    </xf>
    <xf numFmtId="15" fontId="13" fillId="10" borderId="0" xfId="5" applyNumberFormat="1" applyFont="1" applyFill="1"/>
    <xf numFmtId="43" fontId="13" fillId="11" borderId="0" xfId="1" applyFont="1" applyFill="1" applyBorder="1" applyAlignment="1"/>
    <xf numFmtId="0" fontId="9" fillId="0" borderId="0" xfId="6" applyFont="1" applyAlignment="1">
      <alignment horizontal="center" vertical="center" wrapText="1"/>
    </xf>
    <xf numFmtId="0" fontId="9" fillId="0" borderId="0" xfId="6" applyFont="1" applyAlignment="1">
      <alignment horizontal="left" vertical="center" wrapText="1"/>
    </xf>
    <xf numFmtId="0" fontId="2" fillId="0" borderId="11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164" fontId="9" fillId="0" borderId="0" xfId="2" applyNumberFormat="1" applyFont="1" applyAlignment="1">
      <alignment vertical="center"/>
    </xf>
    <xf numFmtId="9" fontId="9" fillId="0" borderId="0" xfId="4" applyFont="1" applyFill="1" applyBorder="1" applyAlignment="1">
      <alignment vertical="center"/>
    </xf>
    <xf numFmtId="0" fontId="2" fillId="0" borderId="11" xfId="6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5" fillId="13" borderId="0" xfId="6" applyFont="1" applyFill="1" applyAlignment="1">
      <alignment horizontal="center" vertical="center" wrapText="1"/>
    </xf>
    <xf numFmtId="43" fontId="9" fillId="0" borderId="0" xfId="2" applyNumberFormat="1" applyFont="1" applyAlignment="1">
      <alignment vertical="center"/>
    </xf>
    <xf numFmtId="164" fontId="2" fillId="0" borderId="11" xfId="6" applyNumberFormat="1" applyBorder="1" applyAlignment="1">
      <alignment vertical="center"/>
    </xf>
    <xf numFmtId="0" fontId="9" fillId="0" borderId="0" xfId="6" applyFont="1" applyAlignment="1">
      <alignment vertical="center"/>
    </xf>
    <xf numFmtId="1" fontId="9" fillId="0" borderId="0" xfId="2" applyNumberFormat="1" applyFont="1" applyAlignment="1">
      <alignment vertical="center"/>
    </xf>
    <xf numFmtId="0" fontId="2" fillId="0" borderId="12" xfId="6" applyBorder="1" applyAlignment="1">
      <alignment horizontal="center" vertical="center"/>
    </xf>
    <xf numFmtId="15" fontId="9" fillId="0" borderId="0" xfId="2" quotePrefix="1" applyNumberFormat="1" applyFont="1" applyAlignment="1">
      <alignment vertical="center"/>
    </xf>
    <xf numFmtId="164" fontId="9" fillId="0" borderId="0" xfId="1" quotePrefix="1" applyNumberFormat="1" applyFont="1" applyFill="1" applyBorder="1" applyAlignment="1">
      <alignment vertical="center"/>
    </xf>
    <xf numFmtId="165" fontId="9" fillId="0" borderId="0" xfId="2" quotePrefix="1" applyNumberFormat="1" applyFont="1" applyAlignment="1">
      <alignment vertical="center"/>
    </xf>
    <xf numFmtId="0" fontId="5" fillId="7" borderId="5" xfId="6" applyFont="1" applyFill="1" applyBorder="1" applyAlignment="1">
      <alignment horizontal="center" vertical="center" wrapText="1"/>
    </xf>
    <xf numFmtId="0" fontId="5" fillId="7" borderId="6" xfId="6" applyFont="1" applyFill="1" applyBorder="1" applyAlignment="1">
      <alignment horizontal="center" vertical="center" wrapText="1"/>
    </xf>
    <xf numFmtId="0" fontId="5" fillId="7" borderId="7" xfId="6" applyFont="1" applyFill="1" applyBorder="1" applyAlignment="1">
      <alignment horizontal="center" vertical="center"/>
    </xf>
    <xf numFmtId="0" fontId="2" fillId="4" borderId="8" xfId="6" applyFill="1" applyBorder="1" applyAlignment="1">
      <alignment horizontal="center" vertical="center"/>
    </xf>
    <xf numFmtId="0" fontId="2" fillId="4" borderId="9" xfId="6" applyFill="1" applyBorder="1" applyAlignment="1">
      <alignment horizontal="center" vertical="center"/>
    </xf>
    <xf numFmtId="0" fontId="5" fillId="4" borderId="9" xfId="2" applyFont="1" applyFill="1" applyBorder="1" applyAlignment="1">
      <alignment horizontal="left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9" xfId="6" applyFont="1" applyFill="1" applyBorder="1" applyAlignment="1">
      <alignment vertical="center" wrapText="1"/>
    </xf>
    <xf numFmtId="0" fontId="2" fillId="4" borderId="46" xfId="6" applyFill="1" applyBorder="1" applyAlignment="1">
      <alignment vertical="center"/>
    </xf>
    <xf numFmtId="0" fontId="5" fillId="5" borderId="4" xfId="6" applyFont="1" applyFill="1" applyBorder="1" applyAlignment="1">
      <alignment vertical="center"/>
    </xf>
    <xf numFmtId="164" fontId="5" fillId="0" borderId="0" xfId="6" applyNumberFormat="1" applyFont="1" applyAlignment="1">
      <alignment vertical="center"/>
    </xf>
    <xf numFmtId="0" fontId="2" fillId="2" borderId="1" xfId="6" applyFill="1" applyBorder="1" applyAlignment="1">
      <alignment horizontal="center" vertical="center" wrapText="1"/>
    </xf>
    <xf numFmtId="0" fontId="2" fillId="0" borderId="4" xfId="6" applyBorder="1" applyAlignment="1">
      <alignment vertical="center"/>
    </xf>
    <xf numFmtId="0" fontId="7" fillId="3" borderId="1" xfId="6" applyFont="1" applyFill="1" applyBorder="1" applyAlignment="1">
      <alignment vertical="center" wrapText="1"/>
    </xf>
    <xf numFmtId="0" fontId="2" fillId="3" borderId="4" xfId="6" applyFill="1" applyBorder="1" applyAlignment="1">
      <alignment vertical="center"/>
    </xf>
    <xf numFmtId="0" fontId="5" fillId="5" borderId="4" xfId="6" applyFont="1" applyFill="1" applyBorder="1" applyAlignment="1">
      <alignment vertical="top" wrapText="1"/>
    </xf>
    <xf numFmtId="164" fontId="2" fillId="8" borderId="1" xfId="1" applyNumberFormat="1" applyFont="1" applyFill="1" applyBorder="1" applyAlignment="1">
      <alignment vertical="center"/>
    </xf>
    <xf numFmtId="164" fontId="2" fillId="8" borderId="1" xfId="1" applyNumberFormat="1" applyFont="1" applyFill="1" applyBorder="1" applyAlignment="1">
      <alignment vertical="center" wrapText="1"/>
    </xf>
    <xf numFmtId="0" fontId="5" fillId="5" borderId="4" xfId="6" applyFont="1" applyFill="1" applyBorder="1" applyAlignment="1">
      <alignment vertical="center" wrapText="1"/>
    </xf>
    <xf numFmtId="49" fontId="2" fillId="2" borderId="1" xfId="2" applyNumberFormat="1" applyFill="1" applyBorder="1" applyAlignment="1">
      <alignment horizontal="center" vertical="center" wrapText="1"/>
    </xf>
    <xf numFmtId="49" fontId="2" fillId="0" borderId="1" xfId="2" applyNumberFormat="1" applyBorder="1" applyAlignment="1">
      <alignment horizontal="center" vertical="center" wrapText="1"/>
    </xf>
    <xf numFmtId="0" fontId="2" fillId="0" borderId="4" xfId="6" applyBorder="1" applyAlignment="1">
      <alignment vertical="center" wrapText="1"/>
    </xf>
    <xf numFmtId="0" fontId="5" fillId="0" borderId="4" xfId="6" applyFont="1" applyBorder="1" applyAlignment="1">
      <alignment vertical="center"/>
    </xf>
    <xf numFmtId="0" fontId="5" fillId="6" borderId="3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2" applyFont="1" applyFill="1" applyBorder="1" applyAlignment="1">
      <alignment vertical="center" wrapText="1"/>
    </xf>
    <xf numFmtId="0" fontId="5" fillId="6" borderId="1" xfId="2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vertical="center" wrapText="1"/>
    </xf>
    <xf numFmtId="0" fontId="5" fillId="6" borderId="4" xfId="6" applyFont="1" applyFill="1" applyBorder="1" applyAlignment="1">
      <alignment vertical="center"/>
    </xf>
    <xf numFmtId="43" fontId="5" fillId="0" borderId="0" xfId="6" applyNumberFormat="1" applyFont="1" applyAlignment="1">
      <alignment vertical="center"/>
    </xf>
    <xf numFmtId="0" fontId="5" fillId="7" borderId="47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2" fillId="2" borderId="4" xfId="6" applyFill="1" applyBorder="1" applyAlignment="1">
      <alignment horizontal="left" vertical="center"/>
    </xf>
    <xf numFmtId="0" fontId="2" fillId="2" borderId="4" xfId="6" applyFill="1" applyBorder="1" applyAlignment="1">
      <alignment horizontal="left" vertical="center" wrapText="1"/>
    </xf>
    <xf numFmtId="49" fontId="2" fillId="2" borderId="4" xfId="2" applyNumberFormat="1" applyFill="1" applyBorder="1" applyAlignment="1">
      <alignment horizontal="left" vertical="center" wrapText="1"/>
    </xf>
    <xf numFmtId="49" fontId="2" fillId="0" borderId="4" xfId="2" applyNumberFormat="1" applyBorder="1" applyAlignment="1">
      <alignment horizontal="left" vertical="center" wrapText="1"/>
    </xf>
    <xf numFmtId="49" fontId="5" fillId="0" borderId="4" xfId="2" applyNumberFormat="1" applyFont="1" applyBorder="1" applyAlignment="1">
      <alignment horizontal="left" vertical="center" wrapText="1"/>
    </xf>
    <xf numFmtId="164" fontId="5" fillId="7" borderId="1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5" fillId="4" borderId="21" xfId="1" applyNumberFormat="1" applyFont="1" applyFill="1" applyBorder="1" applyAlignment="1">
      <alignment horizontal="center" vertical="top" wrapText="1"/>
    </xf>
    <xf numFmtId="164" fontId="5" fillId="5" borderId="1" xfId="1" applyNumberFormat="1" applyFont="1" applyFill="1" applyBorder="1" applyAlignment="1">
      <alignment horizontal="center" wrapText="1"/>
    </xf>
    <xf numFmtId="0" fontId="5" fillId="6" borderId="4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2" xfId="2" applyFont="1" applyFill="1" applyBorder="1" applyAlignment="1">
      <alignment vertical="center" wrapText="1"/>
    </xf>
    <xf numFmtId="164" fontId="5" fillId="6" borderId="2" xfId="1" applyNumberFormat="1" applyFont="1" applyFill="1" applyBorder="1" applyAlignment="1">
      <alignment vertical="center" wrapText="1"/>
    </xf>
    <xf numFmtId="0" fontId="5" fillId="6" borderId="49" xfId="0" applyFont="1" applyFill="1" applyBorder="1" applyAlignment="1">
      <alignment vertical="center"/>
    </xf>
    <xf numFmtId="164" fontId="5" fillId="0" borderId="0" xfId="6" applyNumberFormat="1" applyFont="1" applyBorder="1" applyAlignment="1">
      <alignment vertical="center"/>
    </xf>
    <xf numFmtId="164" fontId="2" fillId="0" borderId="0" xfId="1" applyNumberFormat="1" applyFont="1" applyFill="1" applyBorder="1" applyAlignment="1">
      <alignment vertical="center" wrapText="1"/>
    </xf>
    <xf numFmtId="0" fontId="2" fillId="0" borderId="0" xfId="6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5" fillId="6" borderId="0" xfId="1" applyNumberFormat="1" applyFont="1" applyFill="1" applyBorder="1" applyAlignment="1">
      <alignment vertical="center" wrapText="1"/>
    </xf>
    <xf numFmtId="10" fontId="9" fillId="0" borderId="0" xfId="2" quotePrefix="1" applyNumberFormat="1" applyFont="1" applyFill="1" applyAlignment="1">
      <alignment vertical="center"/>
    </xf>
    <xf numFmtId="0" fontId="2" fillId="0" borderId="0" xfId="6"/>
    <xf numFmtId="43" fontId="2" fillId="0" borderId="4" xfId="0" applyNumberFormat="1" applyFont="1" applyBorder="1" applyAlignment="1">
      <alignment vertical="center"/>
    </xf>
    <xf numFmtId="0" fontId="2" fillId="0" borderId="12" xfId="6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5" fillId="4" borderId="9" xfId="6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left" vertical="center" wrapText="1"/>
    </xf>
    <xf numFmtId="0" fontId="2" fillId="0" borderId="3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4" xfId="2" applyBorder="1" applyAlignment="1">
      <alignment vertical="center" wrapText="1"/>
    </xf>
    <xf numFmtId="0" fontId="5" fillId="0" borderId="0" xfId="9" applyFont="1" applyBorder="1"/>
    <xf numFmtId="0" fontId="2" fillId="0" borderId="0" xfId="6" applyBorder="1"/>
    <xf numFmtId="0" fontId="5" fillId="0" borderId="0" xfId="9" applyFont="1" applyBorder="1" applyAlignment="1">
      <alignment horizontal="left"/>
    </xf>
    <xf numFmtId="164" fontId="0" fillId="0" borderId="0" xfId="10" applyNumberFormat="1" applyFont="1" applyBorder="1"/>
    <xf numFmtId="0" fontId="2" fillId="0" borderId="11" xfId="2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4" fontId="23" fillId="0" borderId="0" xfId="5" applyNumberFormat="1" applyFont="1" applyAlignment="1" applyProtection="1">
      <alignment vertical="center"/>
      <protection locked="0"/>
    </xf>
    <xf numFmtId="4" fontId="23" fillId="0" borderId="0" xfId="5" applyNumberFormat="1" applyFont="1" applyAlignment="1">
      <alignment vertical="center"/>
    </xf>
    <xf numFmtId="14" fontId="13" fillId="0" borderId="0" xfId="5" applyNumberFormat="1" applyFont="1" applyAlignment="1" applyProtection="1">
      <alignment vertical="center"/>
      <protection locked="0"/>
    </xf>
    <xf numFmtId="1" fontId="5" fillId="0" borderId="0" xfId="2" applyNumberFormat="1" applyFont="1" applyAlignment="1">
      <alignment vertical="center"/>
    </xf>
    <xf numFmtId="0" fontId="5" fillId="7" borderId="15" xfId="2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5" fillId="4" borderId="22" xfId="2" applyFont="1" applyFill="1" applyBorder="1" applyAlignment="1">
      <alignment horizontal="left" vertical="center" wrapText="1"/>
    </xf>
    <xf numFmtId="164" fontId="5" fillId="4" borderId="22" xfId="1" applyNumberFormat="1" applyFont="1" applyFill="1" applyBorder="1" applyAlignment="1">
      <alignment horizontal="center" vertical="top" wrapText="1"/>
    </xf>
    <xf numFmtId="0" fontId="5" fillId="4" borderId="22" xfId="2" applyFont="1" applyFill="1" applyBorder="1" applyAlignment="1">
      <alignment horizontal="center" vertical="center" wrapText="1"/>
    </xf>
    <xf numFmtId="0" fontId="5" fillId="4" borderId="23" xfId="2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left" vertical="center" wrapText="1"/>
    </xf>
    <xf numFmtId="164" fontId="5" fillId="5" borderId="4" xfId="1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5" fillId="7" borderId="15" xfId="2" applyFont="1" applyFill="1" applyBorder="1" applyAlignment="1">
      <alignment horizontal="center" vertical="center" wrapText="1"/>
    </xf>
    <xf numFmtId="0" fontId="2" fillId="0" borderId="0" xfId="2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6" fillId="0" borderId="0" xfId="0" applyFont="1"/>
    <xf numFmtId="0" fontId="2" fillId="16" borderId="22" xfId="0" applyFont="1" applyFill="1" applyBorder="1" applyAlignment="1">
      <alignment horizontal="center" vertical="center"/>
    </xf>
    <xf numFmtId="0" fontId="5" fillId="16" borderId="22" xfId="2" applyFont="1" applyFill="1" applyBorder="1" applyAlignment="1">
      <alignment horizontal="left" vertical="center" wrapText="1"/>
    </xf>
    <xf numFmtId="164" fontId="5" fillId="16" borderId="22" xfId="1" applyNumberFormat="1" applyFont="1" applyFill="1" applyBorder="1" applyAlignment="1">
      <alignment horizontal="center" vertical="top" wrapText="1"/>
    </xf>
    <xf numFmtId="0" fontId="5" fillId="16" borderId="23" xfId="2" applyFont="1" applyFill="1" applyBorder="1" applyAlignment="1">
      <alignment horizontal="center" vertical="center" wrapText="1"/>
    </xf>
    <xf numFmtId="164" fontId="5" fillId="16" borderId="22" xfId="1" applyNumberFormat="1" applyFont="1" applyFill="1" applyBorder="1" applyAlignment="1">
      <alignment horizontal="left" vertical="center" wrapText="1"/>
    </xf>
    <xf numFmtId="164" fontId="5" fillId="16" borderId="22" xfId="1" applyNumberFormat="1" applyFont="1" applyFill="1" applyBorder="1" applyAlignment="1">
      <alignment horizontal="center" vertical="center" wrapText="1"/>
    </xf>
    <xf numFmtId="0" fontId="5" fillId="16" borderId="43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5" fillId="16" borderId="1" xfId="2" applyFont="1" applyFill="1" applyBorder="1" applyAlignment="1">
      <alignment horizontal="left" vertical="center" wrapText="1"/>
    </xf>
    <xf numFmtId="164" fontId="5" fillId="16" borderId="1" xfId="2" applyNumberFormat="1" applyFont="1" applyFill="1" applyBorder="1" applyAlignment="1">
      <alignment vertical="center" wrapText="1"/>
    </xf>
    <xf numFmtId="164" fontId="5" fillId="16" borderId="1" xfId="1" applyNumberFormat="1" applyFont="1" applyFill="1" applyBorder="1" applyAlignment="1">
      <alignment horizontal="center" vertical="center" wrapText="1"/>
    </xf>
    <xf numFmtId="164" fontId="5" fillId="16" borderId="4" xfId="1" applyNumberFormat="1" applyFont="1" applyFill="1" applyBorder="1" applyAlignment="1">
      <alignment horizontal="center" vertical="center" wrapText="1"/>
    </xf>
    <xf numFmtId="0" fontId="5" fillId="17" borderId="45" xfId="2" applyFont="1" applyFill="1" applyBorder="1" applyAlignment="1">
      <alignment horizontal="center" vertical="center" wrapText="1"/>
    </xf>
    <xf numFmtId="164" fontId="5" fillId="17" borderId="6" xfId="1" applyNumberFormat="1" applyFont="1" applyFill="1" applyBorder="1" applyAlignment="1">
      <alignment vertical="center" wrapText="1"/>
    </xf>
    <xf numFmtId="164" fontId="5" fillId="17" borderId="7" xfId="1" applyNumberFormat="1" applyFont="1" applyFill="1" applyBorder="1" applyAlignment="1">
      <alignment vertical="center" wrapText="1"/>
    </xf>
    <xf numFmtId="0" fontId="5" fillId="15" borderId="7" xfId="9" applyFont="1" applyFill="1" applyBorder="1" applyAlignment="1">
      <alignment horizontal="center" vertical="center"/>
    </xf>
    <xf numFmtId="0" fontId="5" fillId="18" borderId="5" xfId="9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0" fontId="5" fillId="7" borderId="15" xfId="2" applyFont="1" applyFill="1" applyBorder="1" applyAlignment="1">
      <alignment horizontal="center" vertical="center" wrapText="1"/>
    </xf>
    <xf numFmtId="0" fontId="27" fillId="0" borderId="0" xfId="6" applyFont="1"/>
    <xf numFmtId="49" fontId="5" fillId="0" borderId="43" xfId="9" applyNumberFormat="1" applyFont="1" applyBorder="1" applyAlignment="1">
      <alignment horizontal="left" vertical="center" wrapText="1"/>
    </xf>
    <xf numFmtId="49" fontId="5" fillId="0" borderId="3" xfId="9" applyNumberFormat="1" applyFont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15" borderId="6" xfId="9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7" borderId="15" xfId="2" applyFont="1" applyFill="1" applyBorder="1" applyAlignment="1">
      <alignment horizontal="center" vertical="center" wrapText="1"/>
    </xf>
    <xf numFmtId="0" fontId="5" fillId="17" borderId="45" xfId="2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0" fillId="0" borderId="22" xfId="1" applyNumberFormat="1" applyFont="1" applyBorder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164" fontId="5" fillId="18" borderId="6" xfId="1" applyNumberFormat="1" applyFont="1" applyFill="1" applyBorder="1" applyAlignment="1">
      <alignment vertical="center" wrapText="1"/>
    </xf>
    <xf numFmtId="164" fontId="5" fillId="18" borderId="7" xfId="1" applyNumberFormat="1" applyFont="1" applyFill="1" applyBorder="1" applyAlignment="1">
      <alignment vertical="center" wrapText="1"/>
    </xf>
    <xf numFmtId="164" fontId="2" fillId="0" borderId="1" xfId="1" applyNumberFormat="1" applyBorder="1" applyAlignment="1">
      <alignment vertical="center" wrapText="1"/>
    </xf>
    <xf numFmtId="164" fontId="2" fillId="0" borderId="22" xfId="1" applyNumberFormat="1" applyBorder="1" applyAlignment="1">
      <alignment vertical="center" wrapText="1"/>
    </xf>
    <xf numFmtId="164" fontId="2" fillId="0" borderId="23" xfId="6" applyNumberFormat="1" applyBorder="1" applyAlignment="1">
      <alignment vertical="center"/>
    </xf>
    <xf numFmtId="0" fontId="5" fillId="16" borderId="17" xfId="9" applyFont="1" applyFill="1" applyBorder="1" applyAlignment="1">
      <alignment horizontal="left" vertical="center"/>
    </xf>
    <xf numFmtId="164" fontId="5" fillId="16" borderId="18" xfId="9" applyNumberFormat="1" applyFont="1" applyFill="1" applyBorder="1" applyAlignment="1">
      <alignment horizontal="center" vertical="center"/>
    </xf>
    <xf numFmtId="164" fontId="5" fillId="16" borderId="47" xfId="9" applyNumberFormat="1" applyFont="1" applyFill="1" applyBorder="1" applyAlignment="1">
      <alignment horizontal="center" vertical="center"/>
    </xf>
    <xf numFmtId="0" fontId="5" fillId="15" borderId="5" xfId="9" applyFont="1" applyFill="1" applyBorder="1" applyAlignment="1">
      <alignment horizontal="left" vertical="center"/>
    </xf>
    <xf numFmtId="0" fontId="5" fillId="15" borderId="0" xfId="6" applyFont="1" applyFill="1"/>
    <xf numFmtId="0" fontId="5" fillId="0" borderId="0" xfId="9" applyFont="1" applyBorder="1" applyAlignment="1">
      <alignment horizontal="center"/>
    </xf>
    <xf numFmtId="0" fontId="24" fillId="16" borderId="0" xfId="6" applyFont="1" applyFill="1" applyAlignment="1">
      <alignment horizontal="center"/>
    </xf>
    <xf numFmtId="0" fontId="24" fillId="0" borderId="0" xfId="6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5" fillId="7" borderId="18" xfId="2" applyFont="1" applyFill="1" applyBorder="1" applyAlignment="1">
      <alignment horizontal="center" vertical="center" wrapText="1"/>
    </xf>
    <xf numFmtId="0" fontId="5" fillId="17" borderId="50" xfId="2" applyFont="1" applyFill="1" applyBorder="1" applyAlignment="1">
      <alignment horizontal="center" vertical="center" wrapText="1"/>
    </xf>
    <xf numFmtId="0" fontId="5" fillId="17" borderId="44" xfId="2" applyFont="1" applyFill="1" applyBorder="1" applyAlignment="1">
      <alignment horizontal="center" vertical="center" wrapText="1"/>
    </xf>
    <xf numFmtId="0" fontId="5" fillId="17" borderId="45" xfId="2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43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7" borderId="17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5" xfId="2" applyFont="1" applyFill="1" applyBorder="1" applyAlignment="1">
      <alignment horizontal="center" vertical="center" wrapText="1"/>
    </xf>
    <xf numFmtId="0" fontId="5" fillId="7" borderId="47" xfId="2" applyFont="1" applyFill="1" applyBorder="1" applyAlignment="1">
      <alignment horizontal="center" vertical="center" wrapText="1"/>
    </xf>
    <xf numFmtId="0" fontId="5" fillId="7" borderId="16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5" fillId="7" borderId="10" xfId="2" applyFont="1" applyFill="1" applyBorder="1" applyAlignment="1">
      <alignment horizontal="center" vertical="center" wrapText="1"/>
    </xf>
    <xf numFmtId="0" fontId="5" fillId="7" borderId="45" xfId="2" applyFont="1" applyFill="1" applyBorder="1" applyAlignment="1">
      <alignment horizontal="center" vertical="center" wrapText="1"/>
    </xf>
    <xf numFmtId="43" fontId="5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164" fontId="5" fillId="14" borderId="0" xfId="2" applyNumberFormat="1" applyFont="1" applyFill="1" applyAlignment="1">
      <alignment horizontal="center" vertical="center"/>
    </xf>
    <xf numFmtId="0" fontId="22" fillId="0" borderId="0" xfId="6" applyFont="1" applyAlignment="1">
      <alignment horizontal="center" vertical="center" wrapText="1"/>
    </xf>
    <xf numFmtId="0" fontId="2" fillId="0" borderId="11" xfId="6" applyBorder="1" applyAlignment="1">
      <alignment vertical="center"/>
    </xf>
    <xf numFmtId="0" fontId="2" fillId="0" borderId="0" xfId="6" applyAlignment="1">
      <alignment vertical="center"/>
    </xf>
    <xf numFmtId="43" fontId="9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164" fontId="5" fillId="7" borderId="13" xfId="1" applyNumberFormat="1" applyFont="1" applyFill="1" applyBorder="1" applyAlignment="1">
      <alignment horizontal="center" vertical="center" wrapText="1"/>
    </xf>
    <xf numFmtId="164" fontId="5" fillId="7" borderId="9" xfId="1" applyNumberFormat="1" applyFont="1" applyFill="1" applyBorder="1" applyAlignment="1">
      <alignment horizontal="center" vertical="center" wrapText="1"/>
    </xf>
    <xf numFmtId="0" fontId="5" fillId="7" borderId="10" xfId="6" applyFont="1" applyFill="1" applyBorder="1" applyAlignment="1">
      <alignment horizontal="center" vertical="center" wrapText="1"/>
    </xf>
    <xf numFmtId="0" fontId="5" fillId="7" borderId="44" xfId="6" applyFont="1" applyFill="1" applyBorder="1" applyAlignment="1">
      <alignment horizontal="center" vertical="center" wrapText="1"/>
    </xf>
    <xf numFmtId="0" fontId="5" fillId="7" borderId="45" xfId="6" applyFont="1" applyFill="1" applyBorder="1" applyAlignment="1">
      <alignment horizontal="center" vertical="center" wrapText="1"/>
    </xf>
    <xf numFmtId="0" fontId="11" fillId="0" borderId="0" xfId="6" applyFont="1" applyAlignment="1">
      <alignment horizontal="left" vertical="center" wrapText="1"/>
    </xf>
    <xf numFmtId="0" fontId="5" fillId="0" borderId="0" xfId="6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5" fillId="0" borderId="0" xfId="1" applyNumberFormat="1" applyFont="1" applyAlignment="1">
      <alignment horizontal="center" vertical="top"/>
    </xf>
    <xf numFmtId="0" fontId="17" fillId="4" borderId="25" xfId="7" applyFont="1" applyFill="1" applyBorder="1" applyAlignment="1">
      <alignment horizontal="center" vertical="center" wrapText="1"/>
    </xf>
    <xf numFmtId="0" fontId="17" fillId="4" borderId="26" xfId="7" applyFont="1" applyFill="1" applyBorder="1" applyAlignment="1">
      <alignment horizontal="center" vertical="center" wrapText="1"/>
    </xf>
    <xf numFmtId="0" fontId="17" fillId="4" borderId="29" xfId="7" applyFont="1" applyFill="1" applyBorder="1" applyAlignment="1">
      <alignment horizontal="center" vertical="center" wrapText="1"/>
    </xf>
    <xf numFmtId="0" fontId="17" fillId="4" borderId="0" xfId="7" applyFont="1" applyFill="1" applyBorder="1" applyAlignment="1">
      <alignment horizontal="center" vertical="center" wrapText="1"/>
    </xf>
    <xf numFmtId="0" fontId="17" fillId="4" borderId="27" xfId="7" applyFont="1" applyFill="1" applyBorder="1" applyAlignment="1">
      <alignment horizontal="center" vertical="center"/>
    </xf>
    <xf numFmtId="0" fontId="17" fillId="4" borderId="28" xfId="7" applyFont="1" applyFill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17" fillId="0" borderId="0" xfId="7" applyFont="1" applyBorder="1" applyAlignment="1">
      <alignment horizontal="center" vertical="center"/>
    </xf>
    <xf numFmtId="0" fontId="18" fillId="0" borderId="0" xfId="7" applyFont="1" applyBorder="1" applyAlignment="1">
      <alignment horizontal="left" vertical="center"/>
    </xf>
    <xf numFmtId="0" fontId="19" fillId="0" borderId="1" xfId="7" applyFont="1" applyBorder="1" applyAlignment="1">
      <alignment horizontal="left" vertical="center"/>
    </xf>
    <xf numFmtId="0" fontId="17" fillId="0" borderId="32" xfId="7" applyFont="1" applyBorder="1" applyAlignment="1">
      <alignment horizontal="left" vertical="center"/>
    </xf>
    <xf numFmtId="0" fontId="17" fillId="0" borderId="12" xfId="7" applyFont="1" applyBorder="1" applyAlignment="1">
      <alignment horizontal="left" vertical="center"/>
    </xf>
    <xf numFmtId="0" fontId="17" fillId="0" borderId="33" xfId="7" applyFont="1" applyBorder="1" applyAlignment="1">
      <alignment horizontal="left" vertical="center"/>
    </xf>
    <xf numFmtId="0" fontId="17" fillId="0" borderId="1" xfId="7" applyFont="1" applyBorder="1" applyAlignment="1">
      <alignment horizontal="center" vertical="center"/>
    </xf>
    <xf numFmtId="0" fontId="19" fillId="0" borderId="20" xfId="7" applyFont="1" applyBorder="1" applyAlignment="1">
      <alignment vertical="center"/>
    </xf>
    <xf numFmtId="0" fontId="19" fillId="0" borderId="12" xfId="7" applyFont="1" applyBorder="1" applyAlignment="1">
      <alignment vertical="center"/>
    </xf>
    <xf numFmtId="0" fontId="19" fillId="0" borderId="33" xfId="7" applyFont="1" applyBorder="1" applyAlignment="1">
      <alignment vertical="center"/>
    </xf>
    <xf numFmtId="0" fontId="19" fillId="0" borderId="0" xfId="7" applyFont="1" applyBorder="1" applyAlignment="1">
      <alignment horizontal="center" vertical="center"/>
    </xf>
    <xf numFmtId="0" fontId="17" fillId="4" borderId="38" xfId="7" applyFont="1" applyFill="1" applyBorder="1" applyAlignment="1">
      <alignment horizontal="left" vertical="center"/>
    </xf>
    <xf numFmtId="0" fontId="17" fillId="4" borderId="39" xfId="7" applyFont="1" applyFill="1" applyBorder="1" applyAlignment="1">
      <alignment horizontal="left" vertical="center"/>
    </xf>
    <xf numFmtId="0" fontId="17" fillId="4" borderId="40" xfId="7" applyFont="1" applyFill="1" applyBorder="1" applyAlignment="1">
      <alignment horizontal="left" vertical="center"/>
    </xf>
    <xf numFmtId="0" fontId="21" fillId="0" borderId="0" xfId="7" applyFont="1" applyBorder="1" applyAlignment="1">
      <alignment horizontal="center" vertical="center"/>
    </xf>
  </cellXfs>
  <cellStyles count="12">
    <cellStyle name="Comma" xfId="1" builtinId="3"/>
    <cellStyle name="Comma 2" xfId="10" xr:uid="{CDF6DB3E-017F-4E25-973C-0F9C4BB2A129}"/>
    <cellStyle name="Comma_BRS 2" xfId="8" xr:uid="{00000000-0005-0000-0000-000001000000}"/>
    <cellStyle name="Normal" xfId="0" builtinId="0" customBuiltin="1"/>
    <cellStyle name="Normal 11 11" xfId="11" xr:uid="{74A59448-DCC3-478D-9A14-903753C399E3}"/>
    <cellStyle name="Normal 2" xfId="9" xr:uid="{21AE59C1-5D6A-48B3-943B-14976B9721AA}"/>
    <cellStyle name="Normal 3" xfId="5" xr:uid="{00000000-0005-0000-0000-000003000000}"/>
    <cellStyle name="Normal 3 2" xfId="6" xr:uid="{00000000-0005-0000-0000-000004000000}"/>
    <cellStyle name="Normal 4" xfId="2" xr:uid="{00000000-0005-0000-0000-000005000000}"/>
    <cellStyle name="Normal_BRS 2" xfId="7" xr:uid="{00000000-0005-0000-0000-000006000000}"/>
    <cellStyle name="Percent" xfId="3" builtinId="5"/>
    <cellStyle name="Percent 2" xfId="4" xr:uid="{00000000-0005-0000-0000-000008000000}"/>
  </cellStyles>
  <dxfs count="0"/>
  <tableStyles count="0" defaultTableStyle="TableStyleMedium9" defaultPivotStyle="PivotStyleLight16"/>
  <colors>
    <mruColors>
      <color rgb="FFFFFF66"/>
      <color rgb="FFCCE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11</xdr:row>
      <xdr:rowOff>82826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3D3B53-9218-4C09-A49D-DDE570354F1B}"/>
            </a:ext>
          </a:extLst>
        </xdr:cNvPr>
        <xdr:cNvSpPr txBox="1"/>
      </xdr:nvSpPr>
      <xdr:spPr>
        <a:xfrm>
          <a:off x="1267239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149087</xdr:colOff>
      <xdr:row>12</xdr:row>
      <xdr:rowOff>82826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16B11F-4C4D-4649-885F-4BB599C127CB}"/>
            </a:ext>
          </a:extLst>
        </xdr:cNvPr>
        <xdr:cNvSpPr txBox="1"/>
      </xdr:nvSpPr>
      <xdr:spPr>
        <a:xfrm>
          <a:off x="19046687" y="23370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149087</xdr:colOff>
      <xdr:row>11</xdr:row>
      <xdr:rowOff>82826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937F09-DE6E-491C-B9D7-908EB1E4EB7A}"/>
            </a:ext>
          </a:extLst>
        </xdr:cNvPr>
        <xdr:cNvSpPr txBox="1"/>
      </xdr:nvSpPr>
      <xdr:spPr>
        <a:xfrm>
          <a:off x="16544787" y="25656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149087</xdr:colOff>
      <xdr:row>11</xdr:row>
      <xdr:rowOff>82826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06DE82D-C330-49E3-BB29-32425CBA7630}"/>
            </a:ext>
          </a:extLst>
        </xdr:cNvPr>
        <xdr:cNvSpPr txBox="1"/>
      </xdr:nvSpPr>
      <xdr:spPr>
        <a:xfrm>
          <a:off x="14284187" y="25498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149087</xdr:colOff>
      <xdr:row>11</xdr:row>
      <xdr:rowOff>82826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E89B7C-B7EF-4080-A538-6D09758F1217}"/>
            </a:ext>
          </a:extLst>
        </xdr:cNvPr>
        <xdr:cNvSpPr txBox="1"/>
      </xdr:nvSpPr>
      <xdr:spPr>
        <a:xfrm>
          <a:off x="10883762" y="254980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mruzzaman/SPP%20Budget%20Ammendment/BNWLA/Dec.'20%20-Fin%20Report%20Form_%20Adv%20Req%20Form_BNW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NWLA"/>
      <sheetName val="Fin Statement_BNWLA"/>
      <sheetName val="ATTACHMENT D- Adv Req Form "/>
      <sheetName val="Top sheet"/>
      <sheetName val="Fund Reconciliation"/>
    </sheetNames>
    <sheetDataSet>
      <sheetData sheetId="0">
        <row r="3">
          <cell r="C3" t="str">
            <v>BNWLA</v>
          </cell>
        </row>
        <row r="4">
          <cell r="C4" t="str">
            <v>6885-19-A-04</v>
          </cell>
        </row>
        <row r="5">
          <cell r="C5" t="str">
            <v>Ashshash: For Men and Women Who Have Escaped Trafficking</v>
          </cell>
        </row>
        <row r="6">
          <cell r="C6" t="str">
            <v>Cox's Bazar</v>
          </cell>
        </row>
        <row r="8">
          <cell r="C8" t="str">
            <v>30 months</v>
          </cell>
        </row>
        <row r="14">
          <cell r="C14" t="str">
            <v>Project Coordinator  100%</v>
          </cell>
        </row>
        <row r="15">
          <cell r="C15" t="str">
            <v>Dhaka HO Finance/Program/ M&amp;E (partial)</v>
          </cell>
        </row>
        <row r="16">
          <cell r="C16" t="str">
            <v>Project Accounts &amp; Admin Officer 100%</v>
          </cell>
        </row>
        <row r="17">
          <cell r="C17" t="str">
            <v>Office Support / Operations Assistant</v>
          </cell>
        </row>
        <row r="20">
          <cell r="C20" t="str">
            <v>Office Rent</v>
          </cell>
        </row>
        <row r="21">
          <cell r="C21" t="str">
            <v xml:space="preserve">Utilities &amp; Stationary </v>
          </cell>
        </row>
        <row r="22">
          <cell r="C22" t="str">
            <v>Courier, mobile, internet etc.</v>
          </cell>
        </row>
        <row r="23">
          <cell r="C23" t="str">
            <v>Recruitment Cost</v>
          </cell>
        </row>
        <row r="24">
          <cell r="C24" t="str">
            <v>Travel cost (local and inter district)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436B3-5375-4E9E-ADC3-8D982AB3FC33}">
  <sheetPr>
    <tabColor theme="8" tint="0.79998168889431442"/>
  </sheetPr>
  <dimension ref="A1:D114"/>
  <sheetViews>
    <sheetView tabSelected="1" zoomScale="89" zoomScaleNormal="86" workbookViewId="0">
      <selection activeCell="H12" sqref="H12"/>
    </sheetView>
  </sheetViews>
  <sheetFormatPr defaultRowHeight="12.5"/>
  <cols>
    <col min="1" max="1" width="54.7265625" style="386" customWidth="1"/>
    <col min="2" max="4" width="12.6328125" style="386" customWidth="1"/>
    <col min="5" max="5" width="13.453125" style="386" customWidth="1"/>
    <col min="6" max="6" width="12.90625" style="386" customWidth="1"/>
    <col min="7" max="16384" width="8.7265625" style="386"/>
  </cols>
  <sheetData>
    <row r="1" spans="1:4" ht="15" customHeight="1"/>
    <row r="2" spans="1:4" ht="15" customHeight="1">
      <c r="A2" s="470" t="str">
        <f>'Details Budget -District-A'!C3</f>
        <v>ZZZZZ</v>
      </c>
      <c r="B2" s="470"/>
      <c r="C2" s="470"/>
      <c r="D2" s="470"/>
    </row>
    <row r="3" spans="1:4" ht="15" customHeight="1">
      <c r="A3" s="470" t="str">
        <f>'Details Budget -District-A'!C6&amp;" and "&amp;'Details Budget -District-B'!C6</f>
        <v>A and B</v>
      </c>
      <c r="B3" s="470"/>
      <c r="C3" s="470"/>
      <c r="D3" s="470"/>
    </row>
    <row r="4" spans="1:4" ht="15" customHeight="1"/>
    <row r="5" spans="1:4" ht="15" customHeight="1">
      <c r="A5" s="469" t="s">
        <v>310</v>
      </c>
      <c r="B5" s="469"/>
      <c r="C5" s="469"/>
      <c r="D5" s="469"/>
    </row>
    <row r="6" spans="1:4" ht="15" customHeight="1">
      <c r="A6" s="395"/>
      <c r="B6" s="395"/>
      <c r="C6" s="396"/>
    </row>
    <row r="7" spans="1:4" ht="15" customHeight="1">
      <c r="A7" s="468" t="s">
        <v>307</v>
      </c>
      <c r="B7" s="468"/>
      <c r="C7" s="468"/>
      <c r="D7" s="468"/>
    </row>
    <row r="8" spans="1:4" ht="15" customHeight="1" thickBot="1">
      <c r="A8" s="397"/>
      <c r="B8" s="398"/>
      <c r="C8" s="396"/>
    </row>
    <row r="9" spans="1:4" ht="24.5" customHeight="1" thickBot="1">
      <c r="A9" s="466" t="s">
        <v>163</v>
      </c>
      <c r="B9" s="449" t="s">
        <v>303</v>
      </c>
      <c r="C9" s="449" t="s">
        <v>304</v>
      </c>
      <c r="D9" s="440" t="s">
        <v>259</v>
      </c>
    </row>
    <row r="10" spans="1:4" ht="24.5" customHeight="1">
      <c r="A10" s="463" t="s">
        <v>317</v>
      </c>
      <c r="B10" s="464">
        <f>SUM(B11:B12)</f>
        <v>0</v>
      </c>
      <c r="C10" s="464">
        <f>SUM(C11:C12)</f>
        <v>0</v>
      </c>
      <c r="D10" s="465">
        <f>SUM(D11:D12)</f>
        <v>0</v>
      </c>
    </row>
    <row r="11" spans="1:4" ht="28.5" customHeight="1">
      <c r="A11" s="445" t="str">
        <f>'Details Budget -District-A'!C16</f>
        <v xml:space="preserve">Salaries </v>
      </c>
      <c r="B11" s="456">
        <f>'Details Budget -District-A'!X16</f>
        <v>0</v>
      </c>
      <c r="C11" s="461">
        <f>'Details Budget -District-B'!X16</f>
        <v>0</v>
      </c>
      <c r="D11" s="462">
        <f>SUM(B11,C11)</f>
        <v>0</v>
      </c>
    </row>
    <row r="12" spans="1:4" ht="26.5" customHeight="1" thickBot="1">
      <c r="A12" s="446" t="str">
        <f>'Details Budget -District-A'!C29</f>
        <v>Other Administrative Costs</v>
      </c>
      <c r="B12" s="457">
        <f>'Details Budget -District-A'!X29</f>
        <v>0</v>
      </c>
      <c r="C12" s="460">
        <f>'Details Budget -District-B'!X29</f>
        <v>0</v>
      </c>
      <c r="D12" s="462">
        <f t="shared" ref="D12:D19" si="0">SUM(B12,C12)</f>
        <v>0</v>
      </c>
    </row>
    <row r="13" spans="1:4" ht="26.5" customHeight="1">
      <c r="A13" s="463" t="s">
        <v>276</v>
      </c>
      <c r="B13" s="464">
        <f>SUM(B14:B19)</f>
        <v>0</v>
      </c>
      <c r="C13" s="464">
        <f t="shared" ref="C13:D13" si="1">SUM(C14:C19)</f>
        <v>0</v>
      </c>
      <c r="D13" s="465">
        <f t="shared" si="1"/>
        <v>0</v>
      </c>
    </row>
    <row r="14" spans="1:4" ht="38" customHeight="1">
      <c r="A14" s="446" t="str">
        <f>'Details Budget -District-A'!C39</f>
        <v xml:space="preserve">Output 1.1 Survivors of trafficking are provided holistic care including psychosocial counseling, legal, and essential services </v>
      </c>
      <c r="B14" s="457">
        <f>'Details Budget -District-A'!X39</f>
        <v>0</v>
      </c>
      <c r="C14" s="460">
        <f>'Details Budget -District-B'!X39</f>
        <v>0</v>
      </c>
      <c r="D14" s="462">
        <f t="shared" si="0"/>
        <v>0</v>
      </c>
    </row>
    <row r="15" spans="1:4" ht="33" customHeight="1">
      <c r="A15" s="446" t="str">
        <f>'Details Budget -District-A'!C50</f>
        <v>Output 1.2 Survivors of trafficking are provided training and resources to access new or better employment</v>
      </c>
      <c r="B15" s="457">
        <f>'Details Budget -District-A'!X50</f>
        <v>0</v>
      </c>
      <c r="C15" s="460">
        <f>'Details Budget -District-B'!X50</f>
        <v>0</v>
      </c>
      <c r="D15" s="462">
        <f t="shared" si="0"/>
        <v>0</v>
      </c>
    </row>
    <row r="16" spans="1:4" ht="25" customHeight="1">
      <c r="A16" s="446" t="str">
        <f>'Details Budget -District-A'!C60</f>
        <v xml:space="preserve">Output 1.3 Survivors of trafficking are offered access to finance and market </v>
      </c>
      <c r="B16" s="457">
        <f>'Details Budget -District-A'!X60</f>
        <v>0</v>
      </c>
      <c r="C16" s="460">
        <f>'Details Budget -District-B'!X60</f>
        <v>0</v>
      </c>
      <c r="D16" s="462">
        <f t="shared" si="0"/>
        <v>0</v>
      </c>
    </row>
    <row r="17" spans="1:4" ht="47" customHeight="1">
      <c r="A17" s="446" t="s">
        <v>295</v>
      </c>
      <c r="B17" s="457">
        <f>'Details Budget -District-A'!X66</f>
        <v>0</v>
      </c>
      <c r="C17" s="460">
        <f>'Details Budget -District-B'!X66</f>
        <v>0</v>
      </c>
      <c r="D17" s="462">
        <f t="shared" si="0"/>
        <v>0</v>
      </c>
    </row>
    <row r="18" spans="1:4" ht="38" customHeight="1">
      <c r="A18" s="446" t="s">
        <v>296</v>
      </c>
      <c r="B18" s="457">
        <f>'Details Budget -District-A'!X74</f>
        <v>0</v>
      </c>
      <c r="C18" s="460">
        <f>'Details Budget -District-B'!X74</f>
        <v>0</v>
      </c>
      <c r="D18" s="462">
        <f t="shared" si="0"/>
        <v>0</v>
      </c>
    </row>
    <row r="19" spans="1:4" ht="39.5" thickBot="1">
      <c r="A19" s="446" t="s">
        <v>297</v>
      </c>
      <c r="B19" s="457">
        <f>'Details Budget -District-A'!X87</f>
        <v>0</v>
      </c>
      <c r="C19" s="460">
        <f>'Details Budget -District-B'!X87</f>
        <v>0</v>
      </c>
      <c r="D19" s="462">
        <f t="shared" si="0"/>
        <v>0</v>
      </c>
    </row>
    <row r="20" spans="1:4" ht="25" customHeight="1" thickBot="1">
      <c r="A20" s="441" t="s">
        <v>309</v>
      </c>
      <c r="B20" s="458">
        <f>SUM(B13,B10)</f>
        <v>0</v>
      </c>
      <c r="C20" s="458">
        <f t="shared" ref="C20:D20" si="2">SUM(C13,C10)</f>
        <v>0</v>
      </c>
      <c r="D20" s="459">
        <f t="shared" si="2"/>
        <v>0</v>
      </c>
    </row>
    <row r="21" spans="1:4" ht="15" customHeight="1"/>
    <row r="22" spans="1:4" ht="15" customHeight="1"/>
    <row r="23" spans="1:4" ht="15" customHeight="1">
      <c r="A23" s="444"/>
    </row>
    <row r="24" spans="1:4" ht="15" customHeight="1">
      <c r="A24" s="467" t="s">
        <v>313</v>
      </c>
    </row>
    <row r="25" spans="1:4" ht="15" customHeight="1">
      <c r="A25" s="309" t="s">
        <v>316</v>
      </c>
    </row>
    <row r="26" spans="1:4" ht="25.5" customHeight="1">
      <c r="A26" s="309" t="s">
        <v>314</v>
      </c>
    </row>
    <row r="27" spans="1:4" ht="15" customHeight="1">
      <c r="A27" s="309" t="s">
        <v>315</v>
      </c>
    </row>
    <row r="28" spans="1:4" ht="15" customHeight="1">
      <c r="A28" s="309"/>
    </row>
    <row r="29" spans="1:4" ht="15" customHeight="1">
      <c r="A29" s="309"/>
    </row>
    <row r="30" spans="1:4" ht="15" customHeight="1">
      <c r="A30" s="309"/>
    </row>
    <row r="31" spans="1:4" ht="15" customHeight="1">
      <c r="A31" s="309"/>
    </row>
    <row r="32" spans="1:4" ht="15" customHeight="1">
      <c r="A32" s="309"/>
    </row>
    <row r="33" spans="1:1" ht="15" customHeight="1">
      <c r="A33" s="309"/>
    </row>
    <row r="34" spans="1:1" ht="15" customHeight="1">
      <c r="A34" s="309"/>
    </row>
    <row r="35" spans="1:1" ht="15" customHeight="1">
      <c r="A35" s="309"/>
    </row>
    <row r="36" spans="1:1" ht="15" customHeight="1">
      <c r="A36" s="309"/>
    </row>
    <row r="37" spans="1:1" ht="15" customHeight="1">
      <c r="A37" s="309"/>
    </row>
    <row r="38" spans="1:1" ht="15" customHeight="1">
      <c r="A38" s="309"/>
    </row>
    <row r="39" spans="1:1" ht="15" customHeight="1">
      <c r="A39" s="309"/>
    </row>
    <row r="40" spans="1:1" ht="15" customHeight="1">
      <c r="A40" s="309"/>
    </row>
    <row r="41" spans="1:1" ht="15" customHeight="1">
      <c r="A41" s="309"/>
    </row>
    <row r="42" spans="1:1" ht="15" customHeight="1">
      <c r="A42" s="309"/>
    </row>
    <row r="43" spans="1:1" ht="15" customHeight="1">
      <c r="A43" s="309"/>
    </row>
    <row r="44" spans="1:1" ht="15" customHeight="1">
      <c r="A44" s="309"/>
    </row>
    <row r="45" spans="1:1" ht="15" customHeight="1">
      <c r="A45" s="309"/>
    </row>
    <row r="46" spans="1:1" ht="15" customHeight="1"/>
    <row r="47" spans="1:1" ht="15" customHeight="1"/>
    <row r="48" spans="1: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</sheetData>
  <mergeCells count="4">
    <mergeCell ref="A7:D7"/>
    <mergeCell ref="A5:D5"/>
    <mergeCell ref="A3:D3"/>
    <mergeCell ref="A2:D2"/>
  </mergeCells>
  <pageMargins left="0.6" right="0.5" top="0.75" bottom="0.55000000000000004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I35"/>
  <sheetViews>
    <sheetView workbookViewId="0">
      <selection activeCell="F12" sqref="F12"/>
    </sheetView>
  </sheetViews>
  <sheetFormatPr defaultRowHeight="12.5"/>
  <cols>
    <col min="1" max="1" width="4.26953125" customWidth="1"/>
    <col min="4" max="4" width="23" customWidth="1"/>
    <col min="5" max="5" width="22.81640625" customWidth="1"/>
    <col min="6" max="6" width="15.1796875" customWidth="1"/>
    <col min="9" max="9" width="10.81640625" bestFit="1" customWidth="1"/>
  </cols>
  <sheetData>
    <row r="3" spans="2:6" ht="14.5">
      <c r="B3" s="523" t="s">
        <v>161</v>
      </c>
      <c r="C3" s="523"/>
      <c r="D3" s="523"/>
      <c r="E3" s="523"/>
      <c r="F3" s="523"/>
    </row>
    <row r="4" spans="2:6" ht="14.5">
      <c r="B4" s="523" t="s">
        <v>175</v>
      </c>
      <c r="C4" s="523"/>
      <c r="D4" s="523"/>
      <c r="E4" s="523"/>
      <c r="F4" s="523"/>
    </row>
    <row r="5" spans="2:6" ht="15.5">
      <c r="B5" s="524" t="s">
        <v>162</v>
      </c>
      <c r="C5" s="524"/>
      <c r="D5" s="524"/>
      <c r="E5" s="524"/>
      <c r="F5" s="524"/>
    </row>
    <row r="6" spans="2:6" ht="13">
      <c r="B6" s="525" t="s">
        <v>191</v>
      </c>
      <c r="C6" s="525"/>
      <c r="D6" s="525"/>
      <c r="E6" s="525"/>
      <c r="F6" s="525"/>
    </row>
    <row r="7" spans="2:6" ht="13">
      <c r="B7" s="192"/>
      <c r="C7" s="193"/>
      <c r="D7" s="526"/>
      <c r="E7" s="526"/>
      <c r="F7" s="194"/>
    </row>
    <row r="8" spans="2:6" ht="13.5" thickBot="1">
      <c r="B8" s="194"/>
      <c r="C8" s="194"/>
      <c r="D8" s="194"/>
      <c r="E8" s="195"/>
      <c r="F8" s="194"/>
    </row>
    <row r="9" spans="2:6" ht="13">
      <c r="B9" s="517" t="s">
        <v>163</v>
      </c>
      <c r="C9" s="518"/>
      <c r="D9" s="518"/>
      <c r="E9" s="521" t="s">
        <v>35</v>
      </c>
      <c r="F9" s="522"/>
    </row>
    <row r="10" spans="2:6" ht="13">
      <c r="B10" s="519"/>
      <c r="C10" s="520"/>
      <c r="D10" s="520"/>
      <c r="E10" s="196" t="s">
        <v>164</v>
      </c>
      <c r="F10" s="197" t="s">
        <v>164</v>
      </c>
    </row>
    <row r="11" spans="2:6" ht="13">
      <c r="B11" s="528" t="s">
        <v>165</v>
      </c>
      <c r="C11" s="529"/>
      <c r="D11" s="529"/>
      <c r="E11" s="530"/>
      <c r="F11" s="198">
        <v>3044</v>
      </c>
    </row>
    <row r="12" spans="2:6" ht="13">
      <c r="B12" s="528" t="s">
        <v>166</v>
      </c>
      <c r="C12" s="529"/>
      <c r="D12" s="529"/>
      <c r="E12" s="530"/>
      <c r="F12" s="198"/>
    </row>
    <row r="13" spans="2:6" ht="13">
      <c r="B13" s="527" t="s">
        <v>167</v>
      </c>
      <c r="C13" s="527"/>
      <c r="D13" s="527"/>
      <c r="E13" s="218">
        <v>2475</v>
      </c>
      <c r="F13" s="198"/>
    </row>
    <row r="14" spans="2:6" ht="13">
      <c r="B14" s="527" t="s">
        <v>168</v>
      </c>
      <c r="C14" s="527"/>
      <c r="D14" s="527"/>
      <c r="E14" s="218">
        <v>10000</v>
      </c>
      <c r="F14" s="198"/>
    </row>
    <row r="15" spans="2:6" ht="13">
      <c r="B15" s="527" t="s">
        <v>168</v>
      </c>
      <c r="C15" s="527"/>
      <c r="D15" s="527"/>
      <c r="E15" s="218">
        <v>0</v>
      </c>
      <c r="F15" s="198"/>
    </row>
    <row r="16" spans="2:6" ht="13">
      <c r="B16" s="531"/>
      <c r="C16" s="531"/>
      <c r="D16" s="531"/>
      <c r="E16" s="199"/>
      <c r="F16" s="198"/>
    </row>
    <row r="17" spans="2:9" ht="13">
      <c r="B17" s="528" t="s">
        <v>169</v>
      </c>
      <c r="C17" s="529"/>
      <c r="D17" s="529"/>
      <c r="E17" s="530"/>
      <c r="F17" s="198">
        <f>E13+E14+E15</f>
        <v>12475</v>
      </c>
    </row>
    <row r="18" spans="2:9" ht="13">
      <c r="B18" s="528"/>
      <c r="C18" s="529"/>
      <c r="D18" s="529"/>
      <c r="E18" s="530"/>
      <c r="F18" s="198"/>
    </row>
    <row r="19" spans="2:9" ht="13">
      <c r="B19" s="528" t="s">
        <v>170</v>
      </c>
      <c r="C19" s="529"/>
      <c r="D19" s="529"/>
      <c r="E19" s="530"/>
      <c r="F19" s="198"/>
    </row>
    <row r="20" spans="2:9" ht="13">
      <c r="B20" s="527" t="s">
        <v>171</v>
      </c>
      <c r="C20" s="527"/>
      <c r="D20" s="527"/>
      <c r="E20" s="218">
        <v>1579</v>
      </c>
      <c r="F20" s="198"/>
      <c r="I20" s="31"/>
    </row>
    <row r="21" spans="2:9" ht="13">
      <c r="B21" s="532" t="s">
        <v>172</v>
      </c>
      <c r="C21" s="533"/>
      <c r="D21" s="534"/>
      <c r="E21" s="218">
        <v>526</v>
      </c>
      <c r="F21" s="198"/>
      <c r="I21" s="224"/>
    </row>
    <row r="22" spans="2:9" ht="13">
      <c r="B22" s="527"/>
      <c r="C22" s="527"/>
      <c r="D22" s="527"/>
      <c r="E22" s="199"/>
      <c r="F22" s="198"/>
    </row>
    <row r="23" spans="2:9" ht="13">
      <c r="B23" s="531"/>
      <c r="C23" s="531"/>
      <c r="D23" s="531"/>
      <c r="E23" s="199"/>
      <c r="F23" s="198"/>
    </row>
    <row r="24" spans="2:9" ht="13">
      <c r="B24" s="528" t="s">
        <v>169</v>
      </c>
      <c r="C24" s="529"/>
      <c r="D24" s="529"/>
      <c r="E24" s="530"/>
      <c r="F24" s="198">
        <f>E20+E21+E22</f>
        <v>2105</v>
      </c>
    </row>
    <row r="25" spans="2:9" ht="13">
      <c r="B25" s="200"/>
      <c r="C25" s="201"/>
      <c r="D25" s="202"/>
      <c r="E25" s="203"/>
      <c r="F25" s="204"/>
    </row>
    <row r="26" spans="2:9" ht="13">
      <c r="B26" s="205"/>
      <c r="C26" s="194"/>
      <c r="D26" s="194"/>
      <c r="E26" s="206"/>
      <c r="F26" s="207"/>
    </row>
    <row r="27" spans="2:9" ht="13.5" thickBot="1">
      <c r="B27" s="536" t="s">
        <v>192</v>
      </c>
      <c r="C27" s="537"/>
      <c r="D27" s="537"/>
      <c r="E27" s="538"/>
      <c r="F27" s="208">
        <f>F11+F17-F24</f>
        <v>13414</v>
      </c>
      <c r="I27" s="224"/>
    </row>
    <row r="28" spans="2:9" ht="13">
      <c r="B28" s="209"/>
      <c r="C28" s="210"/>
      <c r="D28" s="210"/>
      <c r="E28" s="211"/>
      <c r="F28" s="210"/>
      <c r="I28" s="224"/>
    </row>
    <row r="29" spans="2:9">
      <c r="B29" s="212" t="s">
        <v>173</v>
      </c>
      <c r="C29" s="539"/>
      <c r="D29" s="539"/>
      <c r="E29" s="213"/>
      <c r="F29" s="213" t="s">
        <v>174</v>
      </c>
    </row>
    <row r="30" spans="2:9" ht="13">
      <c r="B30" s="214"/>
      <c r="C30" s="193"/>
      <c r="D30" s="193"/>
      <c r="E30" s="215"/>
      <c r="F30" s="216"/>
    </row>
    <row r="31" spans="2:9" ht="13">
      <c r="B31" s="214"/>
      <c r="C31" s="193"/>
      <c r="D31" s="193"/>
      <c r="E31" s="215"/>
      <c r="F31" s="193"/>
      <c r="I31" s="224"/>
    </row>
    <row r="32" spans="2:9" ht="13">
      <c r="B32" s="214"/>
      <c r="C32" s="193"/>
      <c r="D32" s="193"/>
      <c r="E32" s="215"/>
      <c r="F32" s="193"/>
    </row>
    <row r="33" spans="2:6" ht="13">
      <c r="B33" s="194"/>
      <c r="C33" s="535"/>
      <c r="D33" s="535"/>
      <c r="E33" s="194"/>
      <c r="F33" s="217"/>
    </row>
    <row r="34" spans="2:6" ht="13">
      <c r="B34" s="194" t="s">
        <v>186</v>
      </c>
      <c r="C34" s="194"/>
      <c r="E34" s="217"/>
      <c r="F34" s="217" t="s">
        <v>177</v>
      </c>
    </row>
    <row r="35" spans="2:6" ht="13">
      <c r="B35" s="194"/>
      <c r="C35" s="535"/>
      <c r="D35" s="535"/>
      <c r="E35" s="194"/>
      <c r="F35" s="194"/>
    </row>
  </sheetData>
  <mergeCells count="25">
    <mergeCell ref="C35:D35"/>
    <mergeCell ref="B23:D23"/>
    <mergeCell ref="B24:E24"/>
    <mergeCell ref="B27:E27"/>
    <mergeCell ref="C29:D29"/>
    <mergeCell ref="C33:D33"/>
    <mergeCell ref="B22:D22"/>
    <mergeCell ref="B11:E11"/>
    <mergeCell ref="B12:E12"/>
    <mergeCell ref="B13:D13"/>
    <mergeCell ref="B14:D14"/>
    <mergeCell ref="B15:D15"/>
    <mergeCell ref="B16:D16"/>
    <mergeCell ref="B17:E17"/>
    <mergeCell ref="B18:E18"/>
    <mergeCell ref="B19:E19"/>
    <mergeCell ref="B20:D20"/>
    <mergeCell ref="B21:D21"/>
    <mergeCell ref="B9:D10"/>
    <mergeCell ref="E9:F9"/>
    <mergeCell ref="B3:F3"/>
    <mergeCell ref="B4:F4"/>
    <mergeCell ref="B5:F5"/>
    <mergeCell ref="B6:F6"/>
    <mergeCell ref="D7:E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A5A9-6733-4605-99F8-7B72C7F88106}">
  <sheetPr>
    <tabColor theme="7" tint="0.79998168889431442"/>
  </sheetPr>
  <dimension ref="A1:AL98"/>
  <sheetViews>
    <sheetView showGridLines="0" zoomScale="78" zoomScaleNormal="94" zoomScaleSheetLayoutView="70" workbookViewId="0">
      <selection activeCell="C15" sqref="C15"/>
    </sheetView>
  </sheetViews>
  <sheetFormatPr defaultColWidth="9.08984375" defaultRowHeight="12.5"/>
  <cols>
    <col min="1" max="1" width="6.36328125" style="15" customWidth="1"/>
    <col min="2" max="2" width="15.08984375" style="15" customWidth="1"/>
    <col min="3" max="3" width="53.453125" style="17" customWidth="1"/>
    <col min="4" max="4" width="8.7265625" style="17" customWidth="1"/>
    <col min="5" max="5" width="10.26953125" style="17" customWidth="1"/>
    <col min="6" max="6" width="12.6328125" style="15" customWidth="1"/>
    <col min="7" max="7" width="12.6328125" style="65" customWidth="1"/>
    <col min="8" max="8" width="10.54296875" style="65" customWidth="1"/>
    <col min="9" max="15" width="12.6328125" style="65" customWidth="1"/>
    <col min="16" max="16" width="8.08984375" style="65" customWidth="1"/>
    <col min="17" max="17" width="7.90625" style="65" customWidth="1"/>
    <col min="18" max="18" width="10.26953125" style="65" customWidth="1"/>
    <col min="19" max="23" width="11.08984375" style="17" customWidth="1"/>
    <col min="24" max="24" width="18.1796875" style="17" customWidth="1"/>
    <col min="25" max="25" width="13.1796875" style="17" customWidth="1"/>
    <col min="26" max="26" width="24.90625" style="17" customWidth="1"/>
    <col min="27" max="16384" width="9.08984375" style="17"/>
  </cols>
  <sheetData>
    <row r="1" spans="1:38" ht="31.5" customHeight="1">
      <c r="A1" s="471" t="s">
        <v>260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</row>
    <row r="2" spans="1:38" ht="13">
      <c r="B2" s="16"/>
      <c r="C2" s="16"/>
      <c r="D2" s="16"/>
      <c r="E2" s="16"/>
    </row>
    <row r="3" spans="1:38" ht="13">
      <c r="A3" s="19" t="s">
        <v>308</v>
      </c>
      <c r="B3" s="19"/>
      <c r="C3" s="399" t="s">
        <v>311</v>
      </c>
      <c r="D3" s="421"/>
      <c r="E3" s="421"/>
      <c r="F3" s="400"/>
    </row>
    <row r="4" spans="1:38" ht="13">
      <c r="A4" s="22" t="s">
        <v>115</v>
      </c>
      <c r="B4" s="22"/>
      <c r="C4" s="401"/>
      <c r="D4" s="422"/>
      <c r="E4" s="422"/>
      <c r="F4" s="371"/>
    </row>
    <row r="5" spans="1:38" ht="19.5" customHeight="1">
      <c r="A5" s="22" t="s">
        <v>43</v>
      </c>
      <c r="B5" s="22"/>
      <c r="C5" s="476" t="s">
        <v>298</v>
      </c>
      <c r="D5" s="477"/>
      <c r="E5" s="477"/>
      <c r="F5" s="478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38" ht="19.5" customHeight="1">
      <c r="A6" s="22" t="s">
        <v>42</v>
      </c>
      <c r="B6" s="22"/>
      <c r="C6" s="402" t="s">
        <v>127</v>
      </c>
      <c r="D6" s="422"/>
      <c r="E6" s="422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1:38" ht="24.5" customHeight="1">
      <c r="A7" s="479" t="s">
        <v>249</v>
      </c>
      <c r="B7" s="479"/>
      <c r="C7" s="402" t="s">
        <v>305</v>
      </c>
      <c r="D7" s="422"/>
      <c r="E7" s="422"/>
      <c r="F7" s="403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5"/>
      <c r="T7" s="405"/>
      <c r="U7" s="405"/>
      <c r="V7" s="405"/>
      <c r="W7" s="405"/>
      <c r="X7" s="31"/>
      <c r="Y7" s="31"/>
      <c r="Z7" s="15"/>
      <c r="AA7" s="65"/>
      <c r="AB7" s="22"/>
      <c r="AC7" s="21"/>
      <c r="AD7" s="406"/>
      <c r="AE7" s="406"/>
      <c r="AF7" s="21"/>
      <c r="AG7" s="480"/>
      <c r="AH7" s="481"/>
      <c r="AI7" s="481"/>
      <c r="AJ7" s="21"/>
      <c r="AK7" s="21"/>
      <c r="AL7" s="22"/>
    </row>
    <row r="8" spans="1:38" ht="19" customHeight="1">
      <c r="A8" s="22" t="s">
        <v>49</v>
      </c>
      <c r="B8" s="22"/>
      <c r="C8" s="402" t="s">
        <v>306</v>
      </c>
      <c r="D8" s="422"/>
      <c r="E8" s="422"/>
    </row>
    <row r="9" spans="1:38" ht="13">
      <c r="A9" s="21"/>
      <c r="B9" s="22"/>
    </row>
    <row r="10" spans="1:38" ht="13">
      <c r="A10" s="22"/>
      <c r="B10" s="22"/>
    </row>
    <row r="11" spans="1:38" ht="3.65" customHeight="1" thickBot="1">
      <c r="A11" s="22"/>
      <c r="B11" s="22"/>
    </row>
    <row r="12" spans="1:38" s="15" customFormat="1" ht="36" customHeight="1">
      <c r="A12" s="482" t="s">
        <v>21</v>
      </c>
      <c r="B12" s="484" t="s">
        <v>261</v>
      </c>
      <c r="C12" s="472" t="s">
        <v>37</v>
      </c>
      <c r="D12" s="472" t="s">
        <v>285</v>
      </c>
      <c r="E12" s="472"/>
      <c r="F12" s="472"/>
      <c r="G12" s="472"/>
      <c r="H12" s="472" t="s">
        <v>286</v>
      </c>
      <c r="I12" s="472"/>
      <c r="J12" s="472"/>
      <c r="K12" s="472"/>
      <c r="L12" s="472" t="s">
        <v>287</v>
      </c>
      <c r="M12" s="472"/>
      <c r="N12" s="472"/>
      <c r="O12" s="472"/>
      <c r="P12" s="472" t="s">
        <v>288</v>
      </c>
      <c r="Q12" s="472"/>
      <c r="R12" s="472"/>
      <c r="S12" s="472"/>
      <c r="T12" s="472" t="s">
        <v>302</v>
      </c>
      <c r="U12" s="472"/>
      <c r="V12" s="472"/>
      <c r="W12" s="472"/>
      <c r="X12" s="472" t="s">
        <v>262</v>
      </c>
      <c r="Y12" s="487" t="s">
        <v>16</v>
      </c>
    </row>
    <row r="13" spans="1:38" s="15" customFormat="1" ht="39.5" customHeight="1" thickBot="1">
      <c r="A13" s="483"/>
      <c r="B13" s="485"/>
      <c r="C13" s="486"/>
      <c r="D13" s="420" t="s">
        <v>250</v>
      </c>
      <c r="E13" s="420" t="s">
        <v>34</v>
      </c>
      <c r="F13" s="420" t="s">
        <v>36</v>
      </c>
      <c r="G13" s="420" t="s">
        <v>35</v>
      </c>
      <c r="H13" s="420" t="s">
        <v>250</v>
      </c>
      <c r="I13" s="420" t="s">
        <v>34</v>
      </c>
      <c r="J13" s="420" t="s">
        <v>36</v>
      </c>
      <c r="K13" s="420" t="s">
        <v>35</v>
      </c>
      <c r="L13" s="420" t="s">
        <v>250</v>
      </c>
      <c r="M13" s="420" t="s">
        <v>34</v>
      </c>
      <c r="N13" s="420" t="s">
        <v>36</v>
      </c>
      <c r="O13" s="420" t="s">
        <v>35</v>
      </c>
      <c r="P13" s="407" t="s">
        <v>250</v>
      </c>
      <c r="Q13" s="407" t="s">
        <v>34</v>
      </c>
      <c r="R13" s="407" t="s">
        <v>36</v>
      </c>
      <c r="S13" s="407" t="s">
        <v>35</v>
      </c>
      <c r="T13" s="443" t="s">
        <v>250</v>
      </c>
      <c r="U13" s="443" t="s">
        <v>34</v>
      </c>
      <c r="V13" s="443" t="s">
        <v>36</v>
      </c>
      <c r="W13" s="443" t="s">
        <v>35</v>
      </c>
      <c r="X13" s="486"/>
      <c r="Y13" s="488"/>
    </row>
    <row r="14" spans="1:38" ht="13">
      <c r="A14" s="408"/>
      <c r="B14" s="409"/>
      <c r="C14" s="410"/>
      <c r="D14" s="410" t="s">
        <v>251</v>
      </c>
      <c r="E14" s="410" t="s">
        <v>252</v>
      </c>
      <c r="F14" s="411" t="s">
        <v>253</v>
      </c>
      <c r="G14" s="412" t="s">
        <v>263</v>
      </c>
      <c r="H14" s="412" t="s">
        <v>254</v>
      </c>
      <c r="I14" s="412" t="s">
        <v>264</v>
      </c>
      <c r="J14" s="412" t="s">
        <v>265</v>
      </c>
      <c r="K14" s="412" t="s">
        <v>266</v>
      </c>
      <c r="L14" s="412" t="s">
        <v>255</v>
      </c>
      <c r="M14" s="412" t="s">
        <v>267</v>
      </c>
      <c r="N14" s="412" t="s">
        <v>268</v>
      </c>
      <c r="O14" s="412" t="s">
        <v>269</v>
      </c>
      <c r="P14" s="412" t="s">
        <v>270</v>
      </c>
      <c r="Q14" s="412" t="s">
        <v>271</v>
      </c>
      <c r="R14" s="412" t="s">
        <v>272</v>
      </c>
      <c r="S14" s="412" t="s">
        <v>273</v>
      </c>
      <c r="T14" s="412" t="s">
        <v>289</v>
      </c>
      <c r="U14" s="412" t="s">
        <v>274</v>
      </c>
      <c r="V14" s="412" t="s">
        <v>290</v>
      </c>
      <c r="W14" s="412" t="s">
        <v>291</v>
      </c>
      <c r="X14" s="412" t="s">
        <v>292</v>
      </c>
      <c r="Y14" s="413" t="s">
        <v>274</v>
      </c>
    </row>
    <row r="15" spans="1:38" ht="22.5" customHeight="1">
      <c r="A15" s="430" t="s">
        <v>127</v>
      </c>
      <c r="B15" s="424"/>
      <c r="C15" s="425" t="s">
        <v>317</v>
      </c>
      <c r="D15" s="428"/>
      <c r="E15" s="428"/>
      <c r="F15" s="426"/>
      <c r="G15" s="429">
        <f>SUM(G16,G29)</f>
        <v>0</v>
      </c>
      <c r="H15" s="429"/>
      <c r="I15" s="429"/>
      <c r="J15" s="429"/>
      <c r="K15" s="429">
        <f>SUM(K16,K29)</f>
        <v>0</v>
      </c>
      <c r="L15" s="429"/>
      <c r="M15" s="429"/>
      <c r="N15" s="429"/>
      <c r="O15" s="429">
        <f>SUM(O16,O29)</f>
        <v>0</v>
      </c>
      <c r="P15" s="429"/>
      <c r="Q15" s="429"/>
      <c r="R15" s="429"/>
      <c r="S15" s="429">
        <f>SUM(S16,S29)</f>
        <v>0</v>
      </c>
      <c r="T15" s="429"/>
      <c r="U15" s="429"/>
      <c r="V15" s="429"/>
      <c r="W15" s="429">
        <f>SUM(W16,W29)</f>
        <v>0</v>
      </c>
      <c r="X15" s="429">
        <f>SUM(X16,X29)</f>
        <v>0</v>
      </c>
      <c r="Y15" s="427"/>
    </row>
    <row r="16" spans="1:38" s="22" customFormat="1" ht="21.65" customHeight="1">
      <c r="A16" s="43"/>
      <c r="B16" s="44"/>
      <c r="C16" s="45" t="s">
        <v>29</v>
      </c>
      <c r="D16" s="45"/>
      <c r="E16" s="45"/>
      <c r="F16" s="48"/>
      <c r="G16" s="414">
        <f>SUM(G17:G28)</f>
        <v>0</v>
      </c>
      <c r="H16" s="414"/>
      <c r="I16" s="414"/>
      <c r="J16" s="414"/>
      <c r="K16" s="414">
        <f>SUM(K17:K28)</f>
        <v>0</v>
      </c>
      <c r="L16" s="414"/>
      <c r="M16" s="414"/>
      <c r="N16" s="414"/>
      <c r="O16" s="414">
        <f>SUM(O17:O28)</f>
        <v>0</v>
      </c>
      <c r="P16" s="414"/>
      <c r="Q16" s="414"/>
      <c r="R16" s="414"/>
      <c r="S16" s="414">
        <f>SUM(S17:S28)</f>
        <v>0</v>
      </c>
      <c r="T16" s="414"/>
      <c r="U16" s="414"/>
      <c r="V16" s="414"/>
      <c r="W16" s="414">
        <f>SUM(W17:W28)</f>
        <v>0</v>
      </c>
      <c r="X16" s="414">
        <f>SUM(X17:X28)</f>
        <v>0</v>
      </c>
      <c r="Y16" s="415"/>
      <c r="Z16" s="50"/>
    </row>
    <row r="17" spans="1:26">
      <c r="A17" s="32"/>
      <c r="B17" s="33"/>
      <c r="C17" s="114"/>
      <c r="D17" s="114" t="s">
        <v>256</v>
      </c>
      <c r="E17" s="114">
        <v>3</v>
      </c>
      <c r="F17" s="37">
        <v>0</v>
      </c>
      <c r="G17" s="68">
        <f>E17*F17</f>
        <v>0</v>
      </c>
      <c r="H17" s="114" t="s">
        <v>256</v>
      </c>
      <c r="I17" s="114">
        <v>12</v>
      </c>
      <c r="J17" s="37">
        <v>0</v>
      </c>
      <c r="K17" s="68">
        <f>I17*J17</f>
        <v>0</v>
      </c>
      <c r="L17" s="114" t="s">
        <v>256</v>
      </c>
      <c r="M17" s="114">
        <v>12</v>
      </c>
      <c r="N17" s="37">
        <v>0</v>
      </c>
      <c r="O17" s="68">
        <f>M17*N17*1.04</f>
        <v>0</v>
      </c>
      <c r="P17" s="68" t="s">
        <v>256</v>
      </c>
      <c r="Q17" s="71">
        <v>12</v>
      </c>
      <c r="R17" s="71">
        <v>0</v>
      </c>
      <c r="S17" s="416">
        <f>Q17*R17*1.04</f>
        <v>0</v>
      </c>
      <c r="T17" s="68" t="s">
        <v>256</v>
      </c>
      <c r="U17" s="416">
        <v>2</v>
      </c>
      <c r="V17" s="416">
        <v>0</v>
      </c>
      <c r="W17" s="416">
        <f>U17*V17</f>
        <v>0</v>
      </c>
      <c r="X17" s="416">
        <f>SUM(G17,K17,O17,S17,W17)</f>
        <v>0</v>
      </c>
      <c r="Y17" s="35"/>
    </row>
    <row r="18" spans="1:26">
      <c r="A18" s="32"/>
      <c r="B18" s="33"/>
      <c r="C18" s="36"/>
      <c r="D18" s="114" t="s">
        <v>256</v>
      </c>
      <c r="E18" s="36">
        <v>3</v>
      </c>
      <c r="F18" s="37">
        <v>0</v>
      </c>
      <c r="G18" s="68">
        <f t="shared" ref="G18:G20" si="0">E18*F18</f>
        <v>0</v>
      </c>
      <c r="H18" s="114" t="s">
        <v>256</v>
      </c>
      <c r="I18" s="36">
        <v>12</v>
      </c>
      <c r="J18" s="37">
        <v>0</v>
      </c>
      <c r="K18" s="68">
        <f t="shared" ref="K18:K20" si="1">I18*J18</f>
        <v>0</v>
      </c>
      <c r="L18" s="114" t="s">
        <v>256</v>
      </c>
      <c r="M18" s="36">
        <v>12</v>
      </c>
      <c r="N18" s="37">
        <v>0</v>
      </c>
      <c r="O18" s="68">
        <f t="shared" ref="O18:O28" si="2">M18*N18*1.04</f>
        <v>0</v>
      </c>
      <c r="P18" s="68" t="s">
        <v>256</v>
      </c>
      <c r="Q18" s="71">
        <v>12</v>
      </c>
      <c r="R18" s="71">
        <v>0</v>
      </c>
      <c r="S18" s="416">
        <f t="shared" ref="S18:S28" si="3">Q18*R18*1.04</f>
        <v>0</v>
      </c>
      <c r="T18" s="68" t="s">
        <v>256</v>
      </c>
      <c r="U18" s="416">
        <v>2</v>
      </c>
      <c r="V18" s="416">
        <v>0</v>
      </c>
      <c r="W18" s="416">
        <f>U18*V18</f>
        <v>0</v>
      </c>
      <c r="X18" s="416">
        <f t="shared" ref="X18:X28" si="4">SUM(G18,K18,O18,S18,W18)</f>
        <v>0</v>
      </c>
      <c r="Y18" s="35"/>
    </row>
    <row r="19" spans="1:26">
      <c r="A19" s="32"/>
      <c r="B19" s="33"/>
      <c r="C19" s="36"/>
      <c r="D19" s="114" t="s">
        <v>256</v>
      </c>
      <c r="E19" s="36">
        <v>3</v>
      </c>
      <c r="F19" s="37">
        <v>0</v>
      </c>
      <c r="G19" s="68">
        <f t="shared" si="0"/>
        <v>0</v>
      </c>
      <c r="H19" s="114" t="s">
        <v>256</v>
      </c>
      <c r="I19" s="36">
        <v>12</v>
      </c>
      <c r="J19" s="37">
        <v>0</v>
      </c>
      <c r="K19" s="68">
        <f t="shared" si="1"/>
        <v>0</v>
      </c>
      <c r="L19" s="114" t="s">
        <v>256</v>
      </c>
      <c r="M19" s="36">
        <v>12</v>
      </c>
      <c r="N19" s="37">
        <v>0</v>
      </c>
      <c r="O19" s="68">
        <f t="shared" si="2"/>
        <v>0</v>
      </c>
      <c r="P19" s="68" t="s">
        <v>256</v>
      </c>
      <c r="Q19" s="71">
        <v>12</v>
      </c>
      <c r="R19" s="71">
        <v>0</v>
      </c>
      <c r="S19" s="416">
        <f t="shared" si="3"/>
        <v>0</v>
      </c>
      <c r="T19" s="68" t="s">
        <v>256</v>
      </c>
      <c r="U19" s="416">
        <v>2</v>
      </c>
      <c r="V19" s="416">
        <v>0</v>
      </c>
      <c r="W19" s="416">
        <f>U19*V19</f>
        <v>0</v>
      </c>
      <c r="X19" s="416">
        <f t="shared" si="4"/>
        <v>0</v>
      </c>
      <c r="Y19" s="35"/>
    </row>
    <row r="20" spans="1:26">
      <c r="A20" s="32"/>
      <c r="B20" s="33"/>
      <c r="C20" s="36"/>
      <c r="D20" s="114" t="s">
        <v>256</v>
      </c>
      <c r="E20" s="36">
        <v>3</v>
      </c>
      <c r="F20" s="37">
        <v>0</v>
      </c>
      <c r="G20" s="68">
        <f t="shared" si="0"/>
        <v>0</v>
      </c>
      <c r="H20" s="114" t="s">
        <v>256</v>
      </c>
      <c r="I20" s="36">
        <v>12</v>
      </c>
      <c r="J20" s="37">
        <v>0</v>
      </c>
      <c r="K20" s="68">
        <f t="shared" si="1"/>
        <v>0</v>
      </c>
      <c r="L20" s="114" t="s">
        <v>256</v>
      </c>
      <c r="M20" s="36">
        <v>12</v>
      </c>
      <c r="N20" s="37">
        <v>0</v>
      </c>
      <c r="O20" s="68">
        <f t="shared" si="2"/>
        <v>0</v>
      </c>
      <c r="P20" s="68" t="s">
        <v>256</v>
      </c>
      <c r="Q20" s="71">
        <v>12</v>
      </c>
      <c r="R20" s="71">
        <v>0</v>
      </c>
      <c r="S20" s="416">
        <f t="shared" si="3"/>
        <v>0</v>
      </c>
      <c r="T20" s="68" t="s">
        <v>256</v>
      </c>
      <c r="U20" s="416">
        <v>2</v>
      </c>
      <c r="V20" s="416">
        <v>0</v>
      </c>
      <c r="W20" s="416">
        <f>U20*V20</f>
        <v>0</v>
      </c>
      <c r="X20" s="416">
        <f t="shared" si="4"/>
        <v>0</v>
      </c>
      <c r="Y20" s="35"/>
    </row>
    <row r="21" spans="1:26">
      <c r="A21" s="32"/>
      <c r="B21" s="33"/>
      <c r="C21" s="36"/>
      <c r="D21" s="114" t="s">
        <v>256</v>
      </c>
      <c r="E21" s="36">
        <v>3</v>
      </c>
      <c r="F21" s="37">
        <v>0</v>
      </c>
      <c r="G21" s="68">
        <f t="shared" ref="G21" si="5">E21*F21</f>
        <v>0</v>
      </c>
      <c r="H21" s="114" t="s">
        <v>256</v>
      </c>
      <c r="I21" s="36">
        <v>12</v>
      </c>
      <c r="J21" s="37">
        <v>0</v>
      </c>
      <c r="K21" s="68">
        <f t="shared" ref="K21" si="6">I21*J21</f>
        <v>0</v>
      </c>
      <c r="L21" s="114" t="s">
        <v>256</v>
      </c>
      <c r="M21" s="36">
        <v>12</v>
      </c>
      <c r="N21" s="37">
        <v>0</v>
      </c>
      <c r="O21" s="68">
        <f t="shared" si="2"/>
        <v>0</v>
      </c>
      <c r="P21" s="68" t="s">
        <v>256</v>
      </c>
      <c r="Q21" s="71">
        <v>12</v>
      </c>
      <c r="R21" s="71">
        <v>0</v>
      </c>
      <c r="S21" s="416">
        <f t="shared" si="3"/>
        <v>0</v>
      </c>
      <c r="T21" s="68" t="s">
        <v>256</v>
      </c>
      <c r="U21" s="416">
        <v>2</v>
      </c>
      <c r="V21" s="416">
        <v>0</v>
      </c>
      <c r="W21" s="416">
        <f>U21*V21</f>
        <v>0</v>
      </c>
      <c r="X21" s="416">
        <f t="shared" si="4"/>
        <v>0</v>
      </c>
      <c r="Y21" s="35"/>
    </row>
    <row r="22" spans="1:26">
      <c r="A22" s="32"/>
      <c r="B22" s="33"/>
      <c r="C22" s="36"/>
      <c r="D22" s="114" t="s">
        <v>256</v>
      </c>
      <c r="E22" s="36">
        <v>3</v>
      </c>
      <c r="F22" s="37">
        <v>0</v>
      </c>
      <c r="G22" s="68">
        <f t="shared" ref="G22:G36" si="7">E22*F22</f>
        <v>0</v>
      </c>
      <c r="H22" s="114" t="s">
        <v>256</v>
      </c>
      <c r="I22" s="36">
        <v>12</v>
      </c>
      <c r="J22" s="37">
        <v>0</v>
      </c>
      <c r="K22" s="68">
        <f t="shared" ref="K22:K28" si="8">I22*J22</f>
        <v>0</v>
      </c>
      <c r="L22" s="114" t="s">
        <v>256</v>
      </c>
      <c r="M22" s="36">
        <v>12</v>
      </c>
      <c r="N22" s="37">
        <v>0</v>
      </c>
      <c r="O22" s="68">
        <f t="shared" si="2"/>
        <v>0</v>
      </c>
      <c r="P22" s="68" t="s">
        <v>256</v>
      </c>
      <c r="Q22" s="71">
        <v>12</v>
      </c>
      <c r="R22" s="71">
        <v>0</v>
      </c>
      <c r="S22" s="416">
        <f t="shared" si="3"/>
        <v>0</v>
      </c>
      <c r="T22" s="68" t="s">
        <v>256</v>
      </c>
      <c r="U22" s="416">
        <v>2</v>
      </c>
      <c r="V22" s="416">
        <v>0</v>
      </c>
      <c r="W22" s="416">
        <f t="shared" ref="W22:W36" si="9">U22*V22</f>
        <v>0</v>
      </c>
      <c r="X22" s="416">
        <f t="shared" si="4"/>
        <v>0</v>
      </c>
      <c r="Y22" s="35"/>
    </row>
    <row r="23" spans="1:26">
      <c r="A23" s="32"/>
      <c r="B23" s="33"/>
      <c r="C23" s="36"/>
      <c r="D23" s="114" t="s">
        <v>256</v>
      </c>
      <c r="E23" s="36">
        <v>3</v>
      </c>
      <c r="F23" s="37">
        <v>0</v>
      </c>
      <c r="G23" s="68">
        <f t="shared" si="7"/>
        <v>0</v>
      </c>
      <c r="H23" s="114" t="s">
        <v>256</v>
      </c>
      <c r="I23" s="36">
        <v>12</v>
      </c>
      <c r="J23" s="37">
        <v>0</v>
      </c>
      <c r="K23" s="68">
        <f t="shared" si="8"/>
        <v>0</v>
      </c>
      <c r="L23" s="114" t="s">
        <v>256</v>
      </c>
      <c r="M23" s="36">
        <v>12</v>
      </c>
      <c r="N23" s="37">
        <v>0</v>
      </c>
      <c r="O23" s="68">
        <f t="shared" si="2"/>
        <v>0</v>
      </c>
      <c r="P23" s="68" t="s">
        <v>256</v>
      </c>
      <c r="Q23" s="71">
        <v>12</v>
      </c>
      <c r="R23" s="71">
        <v>0</v>
      </c>
      <c r="S23" s="416">
        <f t="shared" si="3"/>
        <v>0</v>
      </c>
      <c r="T23" s="68" t="s">
        <v>256</v>
      </c>
      <c r="U23" s="416">
        <v>2</v>
      </c>
      <c r="V23" s="416">
        <v>0</v>
      </c>
      <c r="W23" s="416">
        <f t="shared" si="9"/>
        <v>0</v>
      </c>
      <c r="X23" s="416">
        <f t="shared" si="4"/>
        <v>0</v>
      </c>
      <c r="Y23" s="35"/>
    </row>
    <row r="24" spans="1:26">
      <c r="A24" s="32"/>
      <c r="B24" s="33"/>
      <c r="C24" s="36"/>
      <c r="D24" s="114" t="s">
        <v>256</v>
      </c>
      <c r="E24" s="36">
        <v>3</v>
      </c>
      <c r="F24" s="37">
        <v>0</v>
      </c>
      <c r="G24" s="68">
        <f t="shared" si="7"/>
        <v>0</v>
      </c>
      <c r="H24" s="114" t="s">
        <v>256</v>
      </c>
      <c r="I24" s="36">
        <v>12</v>
      </c>
      <c r="J24" s="37">
        <v>0</v>
      </c>
      <c r="K24" s="68">
        <f t="shared" si="8"/>
        <v>0</v>
      </c>
      <c r="L24" s="114" t="s">
        <v>256</v>
      </c>
      <c r="M24" s="36">
        <v>12</v>
      </c>
      <c r="N24" s="37">
        <v>0</v>
      </c>
      <c r="O24" s="68">
        <f t="shared" si="2"/>
        <v>0</v>
      </c>
      <c r="P24" s="68" t="s">
        <v>256</v>
      </c>
      <c r="Q24" s="71">
        <v>12</v>
      </c>
      <c r="R24" s="71">
        <v>0</v>
      </c>
      <c r="S24" s="416">
        <f t="shared" si="3"/>
        <v>0</v>
      </c>
      <c r="T24" s="68" t="s">
        <v>256</v>
      </c>
      <c r="U24" s="416">
        <v>2</v>
      </c>
      <c r="V24" s="416">
        <v>0</v>
      </c>
      <c r="W24" s="416">
        <f t="shared" si="9"/>
        <v>0</v>
      </c>
      <c r="X24" s="416">
        <f t="shared" si="4"/>
        <v>0</v>
      </c>
      <c r="Y24" s="35"/>
    </row>
    <row r="25" spans="1:26" ht="14.5">
      <c r="A25" s="32"/>
      <c r="B25" s="33"/>
      <c r="C25" s="423"/>
      <c r="D25" s="114" t="s">
        <v>256</v>
      </c>
      <c r="E25" s="36">
        <v>3</v>
      </c>
      <c r="F25" s="37">
        <v>0</v>
      </c>
      <c r="G25" s="68">
        <f t="shared" si="7"/>
        <v>0</v>
      </c>
      <c r="H25" s="114" t="s">
        <v>256</v>
      </c>
      <c r="I25" s="36">
        <v>12</v>
      </c>
      <c r="J25" s="37">
        <v>0</v>
      </c>
      <c r="K25" s="68">
        <f t="shared" si="8"/>
        <v>0</v>
      </c>
      <c r="L25" s="114" t="s">
        <v>256</v>
      </c>
      <c r="M25" s="36">
        <v>12</v>
      </c>
      <c r="N25" s="37">
        <v>0</v>
      </c>
      <c r="O25" s="68">
        <f t="shared" si="2"/>
        <v>0</v>
      </c>
      <c r="P25" s="68" t="s">
        <v>256</v>
      </c>
      <c r="Q25" s="71">
        <v>12</v>
      </c>
      <c r="R25" s="71">
        <v>0</v>
      </c>
      <c r="S25" s="416">
        <f t="shared" si="3"/>
        <v>0</v>
      </c>
      <c r="T25" s="68" t="s">
        <v>256</v>
      </c>
      <c r="U25" s="416">
        <v>2</v>
      </c>
      <c r="V25" s="416">
        <v>0</v>
      </c>
      <c r="W25" s="416">
        <f t="shared" si="9"/>
        <v>0</v>
      </c>
      <c r="X25" s="416">
        <f t="shared" si="4"/>
        <v>0</v>
      </c>
      <c r="Y25" s="35"/>
    </row>
    <row r="26" spans="1:26">
      <c r="A26" s="32"/>
      <c r="B26" s="33"/>
      <c r="C26" s="36"/>
      <c r="D26" s="114" t="s">
        <v>256</v>
      </c>
      <c r="E26" s="36">
        <v>3</v>
      </c>
      <c r="F26" s="37">
        <v>0</v>
      </c>
      <c r="G26" s="68">
        <f t="shared" si="7"/>
        <v>0</v>
      </c>
      <c r="H26" s="114" t="s">
        <v>256</v>
      </c>
      <c r="I26" s="36">
        <v>12</v>
      </c>
      <c r="J26" s="37">
        <v>0</v>
      </c>
      <c r="K26" s="68">
        <f t="shared" si="8"/>
        <v>0</v>
      </c>
      <c r="L26" s="114" t="s">
        <v>256</v>
      </c>
      <c r="M26" s="36">
        <v>12</v>
      </c>
      <c r="N26" s="37">
        <v>0</v>
      </c>
      <c r="O26" s="68">
        <f t="shared" si="2"/>
        <v>0</v>
      </c>
      <c r="P26" s="68" t="s">
        <v>256</v>
      </c>
      <c r="Q26" s="71">
        <v>12</v>
      </c>
      <c r="R26" s="71">
        <v>0</v>
      </c>
      <c r="S26" s="416">
        <f t="shared" si="3"/>
        <v>0</v>
      </c>
      <c r="T26" s="68" t="s">
        <v>256</v>
      </c>
      <c r="U26" s="416">
        <v>2</v>
      </c>
      <c r="V26" s="416">
        <v>0</v>
      </c>
      <c r="W26" s="416">
        <f t="shared" si="9"/>
        <v>0</v>
      </c>
      <c r="X26" s="416">
        <f t="shared" si="4"/>
        <v>0</v>
      </c>
      <c r="Y26" s="35"/>
    </row>
    <row r="27" spans="1:26">
      <c r="A27" s="32"/>
      <c r="B27" s="33"/>
      <c r="C27" s="36"/>
      <c r="D27" s="114" t="s">
        <v>256</v>
      </c>
      <c r="E27" s="36">
        <v>3</v>
      </c>
      <c r="F27" s="37">
        <v>0</v>
      </c>
      <c r="G27" s="68">
        <f t="shared" si="7"/>
        <v>0</v>
      </c>
      <c r="H27" s="114" t="s">
        <v>256</v>
      </c>
      <c r="I27" s="36">
        <v>12</v>
      </c>
      <c r="J27" s="37">
        <v>0</v>
      </c>
      <c r="K27" s="68">
        <f t="shared" si="8"/>
        <v>0</v>
      </c>
      <c r="L27" s="114" t="s">
        <v>256</v>
      </c>
      <c r="M27" s="36">
        <v>12</v>
      </c>
      <c r="N27" s="37">
        <v>0</v>
      </c>
      <c r="O27" s="68">
        <f t="shared" si="2"/>
        <v>0</v>
      </c>
      <c r="P27" s="68" t="s">
        <v>256</v>
      </c>
      <c r="Q27" s="71">
        <v>12</v>
      </c>
      <c r="R27" s="71">
        <v>0</v>
      </c>
      <c r="S27" s="416">
        <f t="shared" si="3"/>
        <v>0</v>
      </c>
      <c r="T27" s="68" t="s">
        <v>256</v>
      </c>
      <c r="U27" s="416">
        <v>2</v>
      </c>
      <c r="V27" s="416">
        <v>0</v>
      </c>
      <c r="W27" s="416">
        <f t="shared" si="9"/>
        <v>0</v>
      </c>
      <c r="X27" s="416">
        <f t="shared" si="4"/>
        <v>0</v>
      </c>
      <c r="Y27" s="35"/>
    </row>
    <row r="28" spans="1:26" ht="17" customHeight="1">
      <c r="A28" s="32"/>
      <c r="B28" s="33"/>
      <c r="C28" s="36"/>
      <c r="D28" s="114" t="s">
        <v>256</v>
      </c>
      <c r="E28" s="36">
        <v>3</v>
      </c>
      <c r="F28" s="37">
        <v>0</v>
      </c>
      <c r="G28" s="68">
        <f t="shared" si="7"/>
        <v>0</v>
      </c>
      <c r="H28" s="114" t="s">
        <v>256</v>
      </c>
      <c r="I28" s="36">
        <v>12</v>
      </c>
      <c r="J28" s="37">
        <v>0</v>
      </c>
      <c r="K28" s="68">
        <f t="shared" si="8"/>
        <v>0</v>
      </c>
      <c r="L28" s="114" t="s">
        <v>256</v>
      </c>
      <c r="M28" s="36">
        <v>12</v>
      </c>
      <c r="N28" s="37">
        <v>0</v>
      </c>
      <c r="O28" s="68">
        <f t="shared" si="2"/>
        <v>0</v>
      </c>
      <c r="P28" s="68" t="s">
        <v>256</v>
      </c>
      <c r="Q28" s="71">
        <v>12</v>
      </c>
      <c r="R28" s="71">
        <v>0</v>
      </c>
      <c r="S28" s="416">
        <f t="shared" si="3"/>
        <v>0</v>
      </c>
      <c r="T28" s="68" t="s">
        <v>256</v>
      </c>
      <c r="U28" s="416">
        <v>2</v>
      </c>
      <c r="V28" s="416">
        <v>0</v>
      </c>
      <c r="W28" s="416">
        <f t="shared" si="9"/>
        <v>0</v>
      </c>
      <c r="X28" s="416">
        <f t="shared" si="4"/>
        <v>0</v>
      </c>
      <c r="Y28" s="35"/>
    </row>
    <row r="29" spans="1:26" s="22" customFormat="1" ht="21.65" customHeight="1">
      <c r="A29" s="43"/>
      <c r="B29" s="44"/>
      <c r="C29" s="45" t="s">
        <v>301</v>
      </c>
      <c r="D29" s="45"/>
      <c r="E29" s="45"/>
      <c r="F29" s="48"/>
      <c r="G29" s="414">
        <f>SUM(G30:G36)</f>
        <v>0</v>
      </c>
      <c r="H29" s="414"/>
      <c r="I29" s="414"/>
      <c r="J29" s="414"/>
      <c r="K29" s="414">
        <f>SUM(K30:K36)</f>
        <v>0</v>
      </c>
      <c r="L29" s="414"/>
      <c r="M29" s="414"/>
      <c r="N29" s="414"/>
      <c r="O29" s="414">
        <f>SUM(O30:O36)</f>
        <v>0</v>
      </c>
      <c r="P29" s="414"/>
      <c r="Q29" s="414"/>
      <c r="R29" s="414"/>
      <c r="S29" s="414">
        <f>SUM(S30:S36)</f>
        <v>0</v>
      </c>
      <c r="T29" s="414"/>
      <c r="U29" s="414"/>
      <c r="V29" s="414"/>
      <c r="W29" s="414">
        <f>SUM(W30:W36)</f>
        <v>0</v>
      </c>
      <c r="X29" s="414">
        <f>SUM(X30:X36)</f>
        <v>0</v>
      </c>
      <c r="Y29" s="145"/>
      <c r="Z29" s="50"/>
    </row>
    <row r="30" spans="1:26">
      <c r="A30" s="32"/>
      <c r="B30" s="33"/>
      <c r="C30" s="36" t="s">
        <v>26</v>
      </c>
      <c r="D30" s="36" t="s">
        <v>256</v>
      </c>
      <c r="E30" s="36">
        <v>3</v>
      </c>
      <c r="F30" s="37">
        <v>0</v>
      </c>
      <c r="G30" s="68">
        <f t="shared" si="7"/>
        <v>0</v>
      </c>
      <c r="H30" s="173" t="s">
        <v>256</v>
      </c>
      <c r="I30" s="36">
        <v>12</v>
      </c>
      <c r="J30" s="68">
        <v>0</v>
      </c>
      <c r="K30" s="68">
        <f>I30*J30</f>
        <v>0</v>
      </c>
      <c r="L30" s="114" t="s">
        <v>256</v>
      </c>
      <c r="M30" s="36">
        <v>0</v>
      </c>
      <c r="N30" s="68">
        <v>0</v>
      </c>
      <c r="O30" s="68">
        <f>M30*N30*1.04</f>
        <v>0</v>
      </c>
      <c r="P30" s="173" t="s">
        <v>256</v>
      </c>
      <c r="Q30" s="68">
        <v>0</v>
      </c>
      <c r="R30" s="68">
        <v>0</v>
      </c>
      <c r="S30" s="416">
        <f>Q30*R30*1.04</f>
        <v>0</v>
      </c>
      <c r="T30" s="447" t="s">
        <v>256</v>
      </c>
      <c r="U30" s="416"/>
      <c r="V30" s="416"/>
      <c r="W30" s="416">
        <f t="shared" si="9"/>
        <v>0</v>
      </c>
      <c r="X30" s="416">
        <f>SUM(G30,K30,O30,S30,W30)</f>
        <v>0</v>
      </c>
      <c r="Y30" s="35"/>
    </row>
    <row r="31" spans="1:26">
      <c r="A31" s="32"/>
      <c r="B31" s="33"/>
      <c r="C31" s="36" t="s">
        <v>299</v>
      </c>
      <c r="D31" s="36" t="s">
        <v>300</v>
      </c>
      <c r="E31" s="36">
        <v>1</v>
      </c>
      <c r="F31" s="37">
        <v>0</v>
      </c>
      <c r="G31" s="68">
        <f t="shared" ref="G31" si="10">E31*F31</f>
        <v>0</v>
      </c>
      <c r="H31" s="36" t="s">
        <v>300</v>
      </c>
      <c r="I31" s="36">
        <v>1</v>
      </c>
      <c r="J31" s="68">
        <v>0</v>
      </c>
      <c r="K31" s="68">
        <f>I31*J31</f>
        <v>0</v>
      </c>
      <c r="L31" s="36" t="s">
        <v>300</v>
      </c>
      <c r="M31" s="36">
        <v>0</v>
      </c>
      <c r="N31" s="68">
        <v>0</v>
      </c>
      <c r="O31" s="68">
        <f t="shared" ref="O31:O36" si="11">M31*N31*1.04</f>
        <v>0</v>
      </c>
      <c r="P31" s="36" t="s">
        <v>300</v>
      </c>
      <c r="Q31" s="68">
        <v>0</v>
      </c>
      <c r="R31" s="68">
        <v>0</v>
      </c>
      <c r="S31" s="416">
        <f t="shared" ref="S31:S36" si="12">Q31*R31*1.04</f>
        <v>0</v>
      </c>
      <c r="T31" s="448" t="s">
        <v>300</v>
      </c>
      <c r="U31" s="416"/>
      <c r="V31" s="416"/>
      <c r="W31" s="416">
        <f t="shared" ref="W31" si="13">U31*V31</f>
        <v>0</v>
      </c>
      <c r="X31" s="416">
        <f>SUM(G31,K31,O31,S31,W31)</f>
        <v>0</v>
      </c>
      <c r="Y31" s="35"/>
    </row>
    <row r="32" spans="1:26">
      <c r="A32" s="32"/>
      <c r="B32" s="33"/>
      <c r="C32" s="36" t="s">
        <v>27</v>
      </c>
      <c r="D32" s="36" t="s">
        <v>256</v>
      </c>
      <c r="E32" s="36">
        <v>3</v>
      </c>
      <c r="F32" s="37">
        <v>0</v>
      </c>
      <c r="G32" s="68">
        <f t="shared" si="7"/>
        <v>0</v>
      </c>
      <c r="H32" s="173" t="s">
        <v>256</v>
      </c>
      <c r="I32" s="36">
        <v>12</v>
      </c>
      <c r="J32" s="37">
        <v>0</v>
      </c>
      <c r="K32" s="68">
        <f t="shared" ref="K32:K36" si="14">I32*J32</f>
        <v>0</v>
      </c>
      <c r="L32" s="114" t="s">
        <v>256</v>
      </c>
      <c r="M32" s="36">
        <v>0</v>
      </c>
      <c r="N32" s="37">
        <v>0</v>
      </c>
      <c r="O32" s="68">
        <f t="shared" si="11"/>
        <v>0</v>
      </c>
      <c r="P32" s="173" t="s">
        <v>256</v>
      </c>
      <c r="Q32" s="68">
        <v>0</v>
      </c>
      <c r="R32" s="37">
        <v>0</v>
      </c>
      <c r="S32" s="416">
        <f t="shared" si="12"/>
        <v>0</v>
      </c>
      <c r="T32" s="447" t="s">
        <v>256</v>
      </c>
      <c r="U32" s="416"/>
      <c r="V32" s="416"/>
      <c r="W32" s="416">
        <f t="shared" si="9"/>
        <v>0</v>
      </c>
      <c r="X32" s="416">
        <f t="shared" ref="X32:X36" si="15">SUM(G32,K32,O32,S32,W32)</f>
        <v>0</v>
      </c>
      <c r="Y32" s="35"/>
    </row>
    <row r="33" spans="1:26">
      <c r="A33" s="32"/>
      <c r="B33" s="33"/>
      <c r="C33" s="36" t="s">
        <v>63</v>
      </c>
      <c r="D33" s="36" t="s">
        <v>256</v>
      </c>
      <c r="E33" s="36">
        <v>3</v>
      </c>
      <c r="F33" s="37">
        <v>0</v>
      </c>
      <c r="G33" s="68">
        <f t="shared" si="7"/>
        <v>0</v>
      </c>
      <c r="H33" s="173" t="s">
        <v>256</v>
      </c>
      <c r="I33" s="36">
        <v>12</v>
      </c>
      <c r="J33" s="37">
        <v>0</v>
      </c>
      <c r="K33" s="68">
        <f t="shared" si="14"/>
        <v>0</v>
      </c>
      <c r="L33" s="114" t="s">
        <v>256</v>
      </c>
      <c r="M33" s="36">
        <v>0</v>
      </c>
      <c r="N33" s="37">
        <v>0</v>
      </c>
      <c r="O33" s="68">
        <f t="shared" si="11"/>
        <v>0</v>
      </c>
      <c r="P33" s="173" t="s">
        <v>256</v>
      </c>
      <c r="Q33" s="68">
        <v>0</v>
      </c>
      <c r="R33" s="37">
        <v>0</v>
      </c>
      <c r="S33" s="416">
        <f t="shared" si="12"/>
        <v>0</v>
      </c>
      <c r="T33" s="447" t="s">
        <v>256</v>
      </c>
      <c r="U33" s="416"/>
      <c r="V33" s="416"/>
      <c r="W33" s="416">
        <f t="shared" si="9"/>
        <v>0</v>
      </c>
      <c r="X33" s="416">
        <f t="shared" si="15"/>
        <v>0</v>
      </c>
      <c r="Y33" s="35"/>
    </row>
    <row r="34" spans="1:26">
      <c r="A34" s="32"/>
      <c r="B34" s="33"/>
      <c r="C34" s="36" t="s">
        <v>38</v>
      </c>
      <c r="D34" s="36" t="s">
        <v>256</v>
      </c>
      <c r="E34" s="36">
        <v>3</v>
      </c>
      <c r="F34" s="37">
        <v>0</v>
      </c>
      <c r="G34" s="68">
        <f t="shared" si="7"/>
        <v>0</v>
      </c>
      <c r="H34" s="173" t="s">
        <v>256</v>
      </c>
      <c r="I34" s="36">
        <v>12</v>
      </c>
      <c r="J34" s="37">
        <v>0</v>
      </c>
      <c r="K34" s="68">
        <f t="shared" si="14"/>
        <v>0</v>
      </c>
      <c r="L34" s="114" t="s">
        <v>256</v>
      </c>
      <c r="M34" s="36">
        <v>0</v>
      </c>
      <c r="N34" s="37">
        <v>0</v>
      </c>
      <c r="O34" s="68">
        <f t="shared" si="11"/>
        <v>0</v>
      </c>
      <c r="P34" s="173" t="s">
        <v>257</v>
      </c>
      <c r="Q34" s="68">
        <v>0</v>
      </c>
      <c r="R34" s="37">
        <v>0</v>
      </c>
      <c r="S34" s="416">
        <f t="shared" si="12"/>
        <v>0</v>
      </c>
      <c r="T34" s="447" t="s">
        <v>257</v>
      </c>
      <c r="U34" s="416"/>
      <c r="V34" s="416"/>
      <c r="W34" s="416">
        <f t="shared" si="9"/>
        <v>0</v>
      </c>
      <c r="X34" s="416">
        <f t="shared" si="15"/>
        <v>0</v>
      </c>
      <c r="Y34" s="35"/>
    </row>
    <row r="35" spans="1:26">
      <c r="A35" s="32"/>
      <c r="B35" s="33"/>
      <c r="C35" s="36" t="s">
        <v>28</v>
      </c>
      <c r="D35" s="36" t="s">
        <v>256</v>
      </c>
      <c r="E35" s="36">
        <v>3</v>
      </c>
      <c r="F35" s="37">
        <v>0</v>
      </c>
      <c r="G35" s="68">
        <f t="shared" si="7"/>
        <v>0</v>
      </c>
      <c r="H35" s="173" t="s">
        <v>256</v>
      </c>
      <c r="I35" s="36">
        <v>12</v>
      </c>
      <c r="J35" s="37">
        <v>0</v>
      </c>
      <c r="K35" s="68">
        <f t="shared" si="14"/>
        <v>0</v>
      </c>
      <c r="L35" s="114" t="s">
        <v>256</v>
      </c>
      <c r="M35" s="36">
        <v>0</v>
      </c>
      <c r="N35" s="37">
        <v>0</v>
      </c>
      <c r="O35" s="68">
        <f t="shared" si="11"/>
        <v>0</v>
      </c>
      <c r="P35" s="173" t="s">
        <v>256</v>
      </c>
      <c r="Q35" s="68">
        <v>0</v>
      </c>
      <c r="R35" s="37">
        <v>0</v>
      </c>
      <c r="S35" s="416">
        <f t="shared" si="12"/>
        <v>0</v>
      </c>
      <c r="T35" s="447" t="s">
        <v>256</v>
      </c>
      <c r="U35" s="416"/>
      <c r="V35" s="416"/>
      <c r="W35" s="416">
        <f t="shared" si="9"/>
        <v>0</v>
      </c>
      <c r="X35" s="416">
        <f t="shared" si="15"/>
        <v>0</v>
      </c>
      <c r="Y35" s="35"/>
    </row>
    <row r="36" spans="1:26">
      <c r="A36" s="32"/>
      <c r="B36" s="33"/>
      <c r="C36" s="36" t="s">
        <v>275</v>
      </c>
      <c r="D36" s="36" t="s">
        <v>256</v>
      </c>
      <c r="E36" s="36">
        <v>3</v>
      </c>
      <c r="F36" s="37">
        <v>0</v>
      </c>
      <c r="G36" s="68">
        <f t="shared" si="7"/>
        <v>0</v>
      </c>
      <c r="H36" s="173" t="s">
        <v>256</v>
      </c>
      <c r="I36" s="36">
        <v>12</v>
      </c>
      <c r="J36" s="37">
        <v>0</v>
      </c>
      <c r="K36" s="68">
        <f t="shared" si="14"/>
        <v>0</v>
      </c>
      <c r="L36" s="114" t="s">
        <v>256</v>
      </c>
      <c r="M36" s="36">
        <v>0</v>
      </c>
      <c r="N36" s="37">
        <v>0</v>
      </c>
      <c r="O36" s="68">
        <f t="shared" si="11"/>
        <v>0</v>
      </c>
      <c r="P36" s="173" t="s">
        <v>256</v>
      </c>
      <c r="Q36" s="68">
        <v>0</v>
      </c>
      <c r="R36" s="37">
        <v>0</v>
      </c>
      <c r="S36" s="416">
        <f t="shared" si="12"/>
        <v>0</v>
      </c>
      <c r="T36" s="447" t="s">
        <v>256</v>
      </c>
      <c r="U36" s="416"/>
      <c r="V36" s="416"/>
      <c r="W36" s="416">
        <f t="shared" si="9"/>
        <v>0</v>
      </c>
      <c r="X36" s="416">
        <f t="shared" si="15"/>
        <v>0</v>
      </c>
      <c r="Y36" s="35"/>
    </row>
    <row r="37" spans="1:26" ht="20.149999999999999" hidden="1" customHeight="1">
      <c r="A37" s="32"/>
      <c r="B37" s="33"/>
      <c r="C37" s="36"/>
      <c r="D37" s="36"/>
      <c r="E37" s="36"/>
      <c r="F37" s="3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416"/>
      <c r="T37" s="416"/>
      <c r="U37" s="416"/>
      <c r="V37" s="416"/>
      <c r="W37" s="416"/>
      <c r="X37" s="53"/>
      <c r="Y37" s="35"/>
    </row>
    <row r="38" spans="1:26" ht="21.5" customHeight="1">
      <c r="A38" s="431" t="s">
        <v>128</v>
      </c>
      <c r="B38" s="432"/>
      <c r="C38" s="433" t="s">
        <v>276</v>
      </c>
      <c r="D38" s="433"/>
      <c r="E38" s="433"/>
      <c r="F38" s="434"/>
      <c r="G38" s="435">
        <f>SUM(G39,G50,G60,G66,G74,G87)</f>
        <v>0</v>
      </c>
      <c r="H38" s="435"/>
      <c r="I38" s="435"/>
      <c r="J38" s="435"/>
      <c r="K38" s="435">
        <f>SUM(K39,K50,K60,K66,K74,K87)</f>
        <v>0</v>
      </c>
      <c r="L38" s="435"/>
      <c r="M38" s="435"/>
      <c r="N38" s="435"/>
      <c r="O38" s="435">
        <f>SUM(O39,O50,O60,O66,O74,O87)</f>
        <v>0</v>
      </c>
      <c r="P38" s="435"/>
      <c r="Q38" s="435"/>
      <c r="R38" s="435"/>
      <c r="S38" s="435">
        <f>SUM(S39,S50,S60,S66,S74,S87)</f>
        <v>0</v>
      </c>
      <c r="T38" s="435"/>
      <c r="U38" s="435"/>
      <c r="V38" s="435"/>
      <c r="W38" s="435">
        <f>SUM(W39,W50,W60,W66,W74,W87)</f>
        <v>0</v>
      </c>
      <c r="X38" s="435">
        <f>SUM(X39,X50,X60,X66,X74,X87)</f>
        <v>0</v>
      </c>
      <c r="Y38" s="436"/>
    </row>
    <row r="39" spans="1:26" s="22" customFormat="1" ht="39" customHeight="1">
      <c r="A39" s="43">
        <v>1</v>
      </c>
      <c r="B39" s="44"/>
      <c r="C39" s="45" t="s">
        <v>284</v>
      </c>
      <c r="D39" s="45"/>
      <c r="E39" s="45"/>
      <c r="F39" s="48"/>
      <c r="G39" s="48">
        <f>SUM(G40:G49)</f>
        <v>0</v>
      </c>
      <c r="H39" s="414"/>
      <c r="I39" s="414"/>
      <c r="J39" s="414"/>
      <c r="K39" s="48">
        <f>SUM(K40:K49)</f>
        <v>0</v>
      </c>
      <c r="L39" s="414"/>
      <c r="M39" s="414"/>
      <c r="N39" s="414"/>
      <c r="O39" s="414">
        <f>SUM(O40:O49)</f>
        <v>0</v>
      </c>
      <c r="P39" s="414"/>
      <c r="Q39" s="414"/>
      <c r="R39" s="414"/>
      <c r="S39" s="414">
        <f>SUM(S40:S49)</f>
        <v>0</v>
      </c>
      <c r="T39" s="414"/>
      <c r="U39" s="414"/>
      <c r="V39" s="414"/>
      <c r="W39" s="414">
        <f>SUM(W40:W49)</f>
        <v>0</v>
      </c>
      <c r="X39" s="414">
        <f>SUM(X40:X49)</f>
        <v>0</v>
      </c>
      <c r="Y39" s="415"/>
      <c r="Z39" s="50"/>
    </row>
    <row r="40" spans="1:26">
      <c r="A40" s="32"/>
      <c r="B40" s="33"/>
      <c r="C40" s="36" t="s">
        <v>282</v>
      </c>
      <c r="D40" s="36" t="s">
        <v>257</v>
      </c>
      <c r="E40" s="36"/>
      <c r="F40" s="37"/>
      <c r="G40" s="68">
        <f t="shared" ref="G40:G49" si="16">E40*F40</f>
        <v>0</v>
      </c>
      <c r="H40" s="36" t="s">
        <v>257</v>
      </c>
      <c r="I40" s="36"/>
      <c r="J40" s="37"/>
      <c r="K40" s="68">
        <f t="shared" ref="K40:K58" si="17">I40*J40</f>
        <v>0</v>
      </c>
      <c r="L40" s="36" t="s">
        <v>257</v>
      </c>
      <c r="M40" s="36"/>
      <c r="N40" s="37"/>
      <c r="O40" s="68">
        <f>M40*N40*1.04</f>
        <v>0</v>
      </c>
      <c r="P40" s="36" t="s">
        <v>257</v>
      </c>
      <c r="Q40" s="36"/>
      <c r="R40" s="37"/>
      <c r="S40" s="416">
        <f>Q40*R40*1.04</f>
        <v>0</v>
      </c>
      <c r="T40" s="36" t="s">
        <v>257</v>
      </c>
      <c r="U40" s="36"/>
      <c r="V40" s="416"/>
      <c r="W40" s="416">
        <f t="shared" ref="W40:W64" si="18">U40*V40</f>
        <v>0</v>
      </c>
      <c r="X40" s="416">
        <f>SUM(G40,K40,O40,S40,W40)</f>
        <v>0</v>
      </c>
      <c r="Y40" s="35"/>
    </row>
    <row r="41" spans="1:26">
      <c r="A41" s="32"/>
      <c r="B41" s="33"/>
      <c r="C41" s="36"/>
      <c r="D41" s="36" t="s">
        <v>257</v>
      </c>
      <c r="E41" s="36"/>
      <c r="F41" s="37"/>
      <c r="G41" s="68">
        <f t="shared" ref="G41:G44" si="19">E41*F41</f>
        <v>0</v>
      </c>
      <c r="H41" s="36" t="s">
        <v>257</v>
      </c>
      <c r="I41" s="36"/>
      <c r="J41" s="37"/>
      <c r="K41" s="68">
        <f t="shared" ref="K41:K45" si="20">I41*J41</f>
        <v>0</v>
      </c>
      <c r="L41" s="36" t="s">
        <v>257</v>
      </c>
      <c r="M41" s="36"/>
      <c r="N41" s="37"/>
      <c r="O41" s="68">
        <f t="shared" ref="O41:O49" si="21">M41*N41*1.04</f>
        <v>0</v>
      </c>
      <c r="P41" s="36" t="s">
        <v>257</v>
      </c>
      <c r="Q41" s="36"/>
      <c r="R41" s="37"/>
      <c r="S41" s="416">
        <f t="shared" ref="S41:S49" si="22">Q41*R41*1.04</f>
        <v>0</v>
      </c>
      <c r="T41" s="36" t="s">
        <v>257</v>
      </c>
      <c r="U41" s="36"/>
      <c r="V41" s="416"/>
      <c r="W41" s="416">
        <f t="shared" si="18"/>
        <v>0</v>
      </c>
      <c r="X41" s="416">
        <f t="shared" ref="X41:X49" si="23">SUM(G41,K41,O41,S41,W41)</f>
        <v>0</v>
      </c>
      <c r="Y41" s="35"/>
    </row>
    <row r="42" spans="1:26">
      <c r="A42" s="32"/>
      <c r="B42" s="33"/>
      <c r="C42" s="36"/>
      <c r="D42" s="36" t="s">
        <v>257</v>
      </c>
      <c r="E42" s="36"/>
      <c r="F42" s="37"/>
      <c r="G42" s="68">
        <f t="shared" si="19"/>
        <v>0</v>
      </c>
      <c r="H42" s="36" t="s">
        <v>257</v>
      </c>
      <c r="I42" s="36"/>
      <c r="J42" s="37"/>
      <c r="K42" s="68">
        <f t="shared" si="20"/>
        <v>0</v>
      </c>
      <c r="L42" s="36" t="s">
        <v>257</v>
      </c>
      <c r="M42" s="36"/>
      <c r="N42" s="37"/>
      <c r="O42" s="68">
        <f t="shared" si="21"/>
        <v>0</v>
      </c>
      <c r="P42" s="36" t="s">
        <v>257</v>
      </c>
      <c r="Q42" s="36"/>
      <c r="R42" s="37"/>
      <c r="S42" s="416">
        <f t="shared" si="22"/>
        <v>0</v>
      </c>
      <c r="T42" s="36" t="s">
        <v>257</v>
      </c>
      <c r="U42" s="36"/>
      <c r="V42" s="416"/>
      <c r="W42" s="416">
        <f t="shared" si="18"/>
        <v>0</v>
      </c>
      <c r="X42" s="416">
        <f t="shared" si="23"/>
        <v>0</v>
      </c>
      <c r="Y42" s="35"/>
    </row>
    <row r="43" spans="1:26">
      <c r="A43" s="32"/>
      <c r="B43" s="33"/>
      <c r="C43" s="36"/>
      <c r="D43" s="36" t="s">
        <v>257</v>
      </c>
      <c r="E43" s="36"/>
      <c r="F43" s="37"/>
      <c r="G43" s="68">
        <f t="shared" si="19"/>
        <v>0</v>
      </c>
      <c r="H43" s="36" t="s">
        <v>257</v>
      </c>
      <c r="I43" s="36"/>
      <c r="J43" s="37"/>
      <c r="K43" s="68">
        <f t="shared" si="20"/>
        <v>0</v>
      </c>
      <c r="L43" s="36" t="s">
        <v>257</v>
      </c>
      <c r="M43" s="36"/>
      <c r="N43" s="37"/>
      <c r="O43" s="68">
        <f t="shared" si="21"/>
        <v>0</v>
      </c>
      <c r="P43" s="36" t="s">
        <v>257</v>
      </c>
      <c r="Q43" s="36"/>
      <c r="R43" s="37"/>
      <c r="S43" s="416">
        <f t="shared" si="22"/>
        <v>0</v>
      </c>
      <c r="T43" s="36" t="s">
        <v>257</v>
      </c>
      <c r="U43" s="36"/>
      <c r="V43" s="416"/>
      <c r="W43" s="416">
        <f t="shared" si="18"/>
        <v>0</v>
      </c>
      <c r="X43" s="416">
        <f t="shared" si="23"/>
        <v>0</v>
      </c>
      <c r="Y43" s="35"/>
    </row>
    <row r="44" spans="1:26">
      <c r="A44" s="32"/>
      <c r="B44" s="33"/>
      <c r="C44" s="36"/>
      <c r="D44" s="36" t="s">
        <v>257</v>
      </c>
      <c r="E44" s="36"/>
      <c r="F44" s="37"/>
      <c r="G44" s="68">
        <f t="shared" si="19"/>
        <v>0</v>
      </c>
      <c r="H44" s="36" t="s">
        <v>257</v>
      </c>
      <c r="I44" s="36"/>
      <c r="J44" s="37"/>
      <c r="K44" s="68">
        <f t="shared" si="20"/>
        <v>0</v>
      </c>
      <c r="L44" s="36" t="s">
        <v>257</v>
      </c>
      <c r="M44" s="36"/>
      <c r="N44" s="37"/>
      <c r="O44" s="68">
        <f t="shared" si="21"/>
        <v>0</v>
      </c>
      <c r="P44" s="36" t="s">
        <v>257</v>
      </c>
      <c r="Q44" s="36"/>
      <c r="R44" s="37"/>
      <c r="S44" s="416">
        <f t="shared" si="22"/>
        <v>0</v>
      </c>
      <c r="T44" s="36" t="s">
        <v>257</v>
      </c>
      <c r="U44" s="36"/>
      <c r="V44" s="416"/>
      <c r="W44" s="416">
        <f t="shared" si="18"/>
        <v>0</v>
      </c>
      <c r="X44" s="416">
        <f t="shared" si="23"/>
        <v>0</v>
      </c>
      <c r="Y44" s="35"/>
    </row>
    <row r="45" spans="1:26">
      <c r="A45" s="32"/>
      <c r="B45" s="33"/>
      <c r="C45" s="417"/>
      <c r="D45" s="36" t="s">
        <v>257</v>
      </c>
      <c r="E45" s="36"/>
      <c r="F45" s="37"/>
      <c r="G45" s="68">
        <f t="shared" si="16"/>
        <v>0</v>
      </c>
      <c r="H45" s="36" t="s">
        <v>257</v>
      </c>
      <c r="I45" s="36"/>
      <c r="J45" s="37"/>
      <c r="K45" s="68">
        <f t="shared" si="20"/>
        <v>0</v>
      </c>
      <c r="L45" s="36" t="s">
        <v>257</v>
      </c>
      <c r="M45" s="36"/>
      <c r="N45" s="37"/>
      <c r="O45" s="68">
        <f t="shared" si="21"/>
        <v>0</v>
      </c>
      <c r="P45" s="36" t="s">
        <v>257</v>
      </c>
      <c r="Q45" s="417"/>
      <c r="R45" s="37"/>
      <c r="S45" s="416">
        <f t="shared" si="22"/>
        <v>0</v>
      </c>
      <c r="T45" s="36" t="s">
        <v>257</v>
      </c>
      <c r="U45" s="417"/>
      <c r="V45" s="416"/>
      <c r="W45" s="416">
        <f t="shared" si="18"/>
        <v>0</v>
      </c>
      <c r="X45" s="416">
        <f t="shared" si="23"/>
        <v>0</v>
      </c>
      <c r="Y45" s="35"/>
    </row>
    <row r="46" spans="1:26">
      <c r="A46" s="32"/>
      <c r="B46" s="33"/>
      <c r="C46" s="36"/>
      <c r="D46" s="36" t="s">
        <v>258</v>
      </c>
      <c r="E46" s="36"/>
      <c r="F46" s="37"/>
      <c r="G46" s="68">
        <f t="shared" si="16"/>
        <v>0</v>
      </c>
      <c r="H46" s="36" t="s">
        <v>257</v>
      </c>
      <c r="I46" s="36"/>
      <c r="J46" s="37"/>
      <c r="K46" s="68">
        <f t="shared" si="17"/>
        <v>0</v>
      </c>
      <c r="L46" s="36" t="s">
        <v>258</v>
      </c>
      <c r="M46" s="36"/>
      <c r="N46" s="37"/>
      <c r="O46" s="68">
        <f t="shared" si="21"/>
        <v>0</v>
      </c>
      <c r="P46" s="36" t="s">
        <v>258</v>
      </c>
      <c r="Q46" s="36"/>
      <c r="R46" s="37"/>
      <c r="S46" s="416">
        <f t="shared" si="22"/>
        <v>0</v>
      </c>
      <c r="T46" s="36" t="s">
        <v>258</v>
      </c>
      <c r="U46" s="36"/>
      <c r="V46" s="416"/>
      <c r="W46" s="416">
        <f t="shared" si="18"/>
        <v>0</v>
      </c>
      <c r="X46" s="416">
        <f t="shared" si="23"/>
        <v>0</v>
      </c>
      <c r="Y46" s="35"/>
    </row>
    <row r="47" spans="1:26">
      <c r="A47" s="32"/>
      <c r="B47" s="33"/>
      <c r="C47" s="36"/>
      <c r="D47" s="36" t="s">
        <v>258</v>
      </c>
      <c r="E47" s="36"/>
      <c r="F47" s="37"/>
      <c r="G47" s="68">
        <f t="shared" si="16"/>
        <v>0</v>
      </c>
      <c r="H47" s="36" t="s">
        <v>257</v>
      </c>
      <c r="I47" s="36"/>
      <c r="J47" s="37"/>
      <c r="K47" s="68">
        <f t="shared" si="17"/>
        <v>0</v>
      </c>
      <c r="L47" s="36" t="s">
        <v>258</v>
      </c>
      <c r="M47" s="36"/>
      <c r="N47" s="37"/>
      <c r="O47" s="68">
        <f t="shared" si="21"/>
        <v>0</v>
      </c>
      <c r="P47" s="36" t="s">
        <v>258</v>
      </c>
      <c r="Q47" s="36"/>
      <c r="R47" s="37"/>
      <c r="S47" s="416">
        <f t="shared" si="22"/>
        <v>0</v>
      </c>
      <c r="T47" s="36" t="s">
        <v>258</v>
      </c>
      <c r="U47" s="36"/>
      <c r="V47" s="416"/>
      <c r="W47" s="416">
        <f t="shared" si="18"/>
        <v>0</v>
      </c>
      <c r="X47" s="416">
        <f t="shared" si="23"/>
        <v>0</v>
      </c>
      <c r="Y47" s="79"/>
    </row>
    <row r="48" spans="1:26">
      <c r="A48" s="32"/>
      <c r="B48" s="33"/>
      <c r="C48" s="190"/>
      <c r="D48" s="190"/>
      <c r="E48" s="190"/>
      <c r="F48" s="37"/>
      <c r="G48" s="68">
        <f t="shared" si="16"/>
        <v>0</v>
      </c>
      <c r="H48" s="190"/>
      <c r="I48" s="190"/>
      <c r="J48" s="37"/>
      <c r="K48" s="68">
        <f t="shared" si="17"/>
        <v>0</v>
      </c>
      <c r="L48" s="190"/>
      <c r="M48" s="190"/>
      <c r="N48" s="37"/>
      <c r="O48" s="68">
        <f t="shared" si="21"/>
        <v>0</v>
      </c>
      <c r="P48" s="36" t="s">
        <v>258</v>
      </c>
      <c r="Q48" s="36"/>
      <c r="R48" s="37"/>
      <c r="S48" s="416">
        <f t="shared" si="22"/>
        <v>0</v>
      </c>
      <c r="T48" s="36" t="s">
        <v>258</v>
      </c>
      <c r="U48" s="36"/>
      <c r="V48" s="418"/>
      <c r="W48" s="416">
        <f t="shared" si="18"/>
        <v>0</v>
      </c>
      <c r="X48" s="416">
        <f t="shared" si="23"/>
        <v>0</v>
      </c>
      <c r="Y48" s="419"/>
    </row>
    <row r="49" spans="1:26">
      <c r="A49" s="32"/>
      <c r="B49" s="33"/>
      <c r="C49" s="36"/>
      <c r="D49" s="36"/>
      <c r="E49" s="36"/>
      <c r="F49" s="37"/>
      <c r="G49" s="68">
        <f t="shared" si="16"/>
        <v>0</v>
      </c>
      <c r="H49" s="36"/>
      <c r="I49" s="36"/>
      <c r="J49" s="37"/>
      <c r="K49" s="68">
        <f t="shared" si="17"/>
        <v>0</v>
      </c>
      <c r="L49" s="36"/>
      <c r="M49" s="36"/>
      <c r="N49" s="37"/>
      <c r="O49" s="68">
        <f t="shared" si="21"/>
        <v>0</v>
      </c>
      <c r="P49" s="36" t="s">
        <v>258</v>
      </c>
      <c r="Q49" s="36"/>
      <c r="R49" s="37"/>
      <c r="S49" s="416">
        <f t="shared" si="22"/>
        <v>0</v>
      </c>
      <c r="T49" s="36" t="s">
        <v>258</v>
      </c>
      <c r="U49" s="36"/>
      <c r="V49" s="416"/>
      <c r="W49" s="416">
        <f t="shared" si="18"/>
        <v>0</v>
      </c>
      <c r="X49" s="416">
        <f t="shared" si="23"/>
        <v>0</v>
      </c>
      <c r="Y49" s="35"/>
    </row>
    <row r="50" spans="1:26" s="22" customFormat="1" ht="33" customHeight="1">
      <c r="A50" s="43">
        <v>2</v>
      </c>
      <c r="B50" s="44" t="s">
        <v>277</v>
      </c>
      <c r="C50" s="45" t="s">
        <v>293</v>
      </c>
      <c r="D50" s="45"/>
      <c r="E50" s="45"/>
      <c r="F50" s="48"/>
      <c r="G50" s="414">
        <f>SUM(G51:G59)</f>
        <v>0</v>
      </c>
      <c r="H50" s="414"/>
      <c r="I50" s="414"/>
      <c r="J50" s="414"/>
      <c r="K50" s="414">
        <f>SUM(K51:K59)</f>
        <v>0</v>
      </c>
      <c r="L50" s="414"/>
      <c r="M50" s="414"/>
      <c r="N50" s="414"/>
      <c r="O50" s="414">
        <f>SUM(O51:O59)</f>
        <v>0</v>
      </c>
      <c r="P50" s="414"/>
      <c r="Q50" s="414"/>
      <c r="R50" s="414"/>
      <c r="S50" s="414">
        <f>SUM(S51:S59)</f>
        <v>0</v>
      </c>
      <c r="T50" s="414"/>
      <c r="U50" s="414"/>
      <c r="V50" s="414"/>
      <c r="W50" s="414">
        <f>SUM(W51:W59)</f>
        <v>0</v>
      </c>
      <c r="X50" s="414">
        <f>SUM(X51:X59)</f>
        <v>0</v>
      </c>
      <c r="Y50" s="415"/>
      <c r="Z50" s="50"/>
    </row>
    <row r="51" spans="1:26">
      <c r="A51" s="32"/>
      <c r="B51" s="33"/>
      <c r="C51" s="289"/>
      <c r="D51" s="36" t="s">
        <v>257</v>
      </c>
      <c r="E51" s="289"/>
      <c r="F51" s="37"/>
      <c r="G51" s="68">
        <f>E51*F51</f>
        <v>0</v>
      </c>
      <c r="H51" s="36" t="s">
        <v>257</v>
      </c>
      <c r="I51" s="289"/>
      <c r="J51" s="37"/>
      <c r="K51" s="68">
        <f t="shared" si="17"/>
        <v>0</v>
      </c>
      <c r="L51" s="36" t="s">
        <v>257</v>
      </c>
      <c r="M51" s="289"/>
      <c r="N51" s="37"/>
      <c r="O51" s="68">
        <f>M51*N51*1.04</f>
        <v>0</v>
      </c>
      <c r="P51" s="36" t="s">
        <v>257</v>
      </c>
      <c r="Q51" s="289"/>
      <c r="R51" s="37"/>
      <c r="S51" s="416">
        <f>Q51*R51*1.04</f>
        <v>0</v>
      </c>
      <c r="T51" s="36" t="s">
        <v>257</v>
      </c>
      <c r="U51" s="289"/>
      <c r="V51" s="37"/>
      <c r="W51" s="416">
        <f t="shared" si="18"/>
        <v>0</v>
      </c>
      <c r="X51" s="416">
        <f>SUM(G51,K51,O51,S51,W51)</f>
        <v>0</v>
      </c>
      <c r="Y51" s="35"/>
    </row>
    <row r="52" spans="1:26">
      <c r="A52" s="32"/>
      <c r="B52" s="33"/>
      <c r="C52" s="289"/>
      <c r="D52" s="36" t="s">
        <v>257</v>
      </c>
      <c r="E52" s="289"/>
      <c r="F52" s="37"/>
      <c r="G52" s="68">
        <f t="shared" ref="G52:G64" si="24">E52*F52</f>
        <v>0</v>
      </c>
      <c r="H52" s="36" t="s">
        <v>257</v>
      </c>
      <c r="I52" s="289"/>
      <c r="J52" s="37"/>
      <c r="K52" s="68">
        <f t="shared" si="17"/>
        <v>0</v>
      </c>
      <c r="L52" s="36" t="s">
        <v>257</v>
      </c>
      <c r="M52" s="289"/>
      <c r="N52" s="37"/>
      <c r="O52" s="68">
        <f t="shared" ref="O52:O59" si="25">M52*N52*1.04</f>
        <v>0</v>
      </c>
      <c r="P52" s="36" t="s">
        <v>257</v>
      </c>
      <c r="Q52" s="289"/>
      <c r="R52" s="37"/>
      <c r="S52" s="416">
        <f t="shared" ref="S52:S59" si="26">Q52*R52*1.04</f>
        <v>0</v>
      </c>
      <c r="T52" s="36" t="s">
        <v>257</v>
      </c>
      <c r="U52" s="289"/>
      <c r="V52" s="37"/>
      <c r="W52" s="416">
        <f t="shared" si="18"/>
        <v>0</v>
      </c>
      <c r="X52" s="416">
        <f t="shared" ref="X52:X58" si="27">SUM(G52,K52,O52,S52,W52)</f>
        <v>0</v>
      </c>
      <c r="Y52" s="35"/>
    </row>
    <row r="53" spans="1:26">
      <c r="A53" s="32"/>
      <c r="B53" s="33"/>
      <c r="C53" s="289"/>
      <c r="D53" s="36" t="s">
        <v>257</v>
      </c>
      <c r="E53" s="289"/>
      <c r="F53" s="37"/>
      <c r="G53" s="68">
        <f t="shared" si="24"/>
        <v>0</v>
      </c>
      <c r="H53" s="36" t="s">
        <v>257</v>
      </c>
      <c r="I53" s="289"/>
      <c r="J53" s="37"/>
      <c r="K53" s="68">
        <f t="shared" si="17"/>
        <v>0</v>
      </c>
      <c r="L53" s="36" t="s">
        <v>257</v>
      </c>
      <c r="M53" s="289"/>
      <c r="N53" s="37"/>
      <c r="O53" s="68">
        <f t="shared" si="25"/>
        <v>0</v>
      </c>
      <c r="P53" s="36" t="s">
        <v>257</v>
      </c>
      <c r="Q53" s="289"/>
      <c r="R53" s="37"/>
      <c r="S53" s="416">
        <f t="shared" si="26"/>
        <v>0</v>
      </c>
      <c r="T53" s="36" t="s">
        <v>257</v>
      </c>
      <c r="U53" s="289"/>
      <c r="V53" s="37"/>
      <c r="W53" s="416">
        <f t="shared" si="18"/>
        <v>0</v>
      </c>
      <c r="X53" s="416">
        <f t="shared" si="27"/>
        <v>0</v>
      </c>
      <c r="Y53" s="35"/>
    </row>
    <row r="54" spans="1:26">
      <c r="A54" s="32"/>
      <c r="B54" s="33"/>
      <c r="C54" s="289"/>
      <c r="D54" s="289" t="s">
        <v>257</v>
      </c>
      <c r="E54" s="289"/>
      <c r="F54" s="37"/>
      <c r="G54" s="68">
        <f t="shared" si="24"/>
        <v>0</v>
      </c>
      <c r="H54" s="289" t="s">
        <v>257</v>
      </c>
      <c r="I54" s="289"/>
      <c r="J54" s="37"/>
      <c r="K54" s="68">
        <f t="shared" si="17"/>
        <v>0</v>
      </c>
      <c r="L54" s="289" t="s">
        <v>257</v>
      </c>
      <c r="M54" s="289"/>
      <c r="N54" s="37"/>
      <c r="O54" s="68">
        <f t="shared" si="25"/>
        <v>0</v>
      </c>
      <c r="P54" s="289" t="s">
        <v>257</v>
      </c>
      <c r="Q54" s="289"/>
      <c r="R54" s="37"/>
      <c r="S54" s="416">
        <f t="shared" si="26"/>
        <v>0</v>
      </c>
      <c r="T54" s="289" t="s">
        <v>257</v>
      </c>
      <c r="U54" s="289"/>
      <c r="V54" s="37"/>
      <c r="W54" s="416">
        <f t="shared" si="18"/>
        <v>0</v>
      </c>
      <c r="X54" s="416">
        <f t="shared" si="27"/>
        <v>0</v>
      </c>
      <c r="Y54" s="35"/>
    </row>
    <row r="55" spans="1:26">
      <c r="A55" s="32"/>
      <c r="B55" s="33"/>
      <c r="C55" s="289"/>
      <c r="D55" s="289" t="s">
        <v>258</v>
      </c>
      <c r="E55" s="289"/>
      <c r="F55" s="37"/>
      <c r="G55" s="68">
        <f t="shared" si="24"/>
        <v>0</v>
      </c>
      <c r="H55" s="289" t="s">
        <v>258</v>
      </c>
      <c r="I55" s="289"/>
      <c r="J55" s="37"/>
      <c r="K55" s="68">
        <f t="shared" si="17"/>
        <v>0</v>
      </c>
      <c r="L55" s="289" t="s">
        <v>258</v>
      </c>
      <c r="M55" s="289"/>
      <c r="N55" s="37"/>
      <c r="O55" s="68">
        <f t="shared" si="25"/>
        <v>0</v>
      </c>
      <c r="P55" s="289" t="s">
        <v>258</v>
      </c>
      <c r="Q55" s="289"/>
      <c r="R55" s="37"/>
      <c r="S55" s="416">
        <f t="shared" si="26"/>
        <v>0</v>
      </c>
      <c r="T55" s="289" t="s">
        <v>258</v>
      </c>
      <c r="U55" s="289"/>
      <c r="V55" s="37"/>
      <c r="W55" s="416">
        <f t="shared" si="18"/>
        <v>0</v>
      </c>
      <c r="X55" s="416">
        <f t="shared" si="27"/>
        <v>0</v>
      </c>
      <c r="Y55" s="35"/>
    </row>
    <row r="56" spans="1:26">
      <c r="A56" s="32"/>
      <c r="B56" s="33"/>
      <c r="C56" s="289"/>
      <c r="D56" s="289" t="s">
        <v>258</v>
      </c>
      <c r="E56" s="289"/>
      <c r="F56" s="37"/>
      <c r="G56" s="68">
        <f t="shared" si="24"/>
        <v>0</v>
      </c>
      <c r="H56" s="289" t="s">
        <v>258</v>
      </c>
      <c r="I56" s="289"/>
      <c r="J56" s="37"/>
      <c r="K56" s="68">
        <f t="shared" si="17"/>
        <v>0</v>
      </c>
      <c r="L56" s="289" t="s">
        <v>258</v>
      </c>
      <c r="M56" s="289"/>
      <c r="N56" s="37"/>
      <c r="O56" s="68">
        <f t="shared" si="25"/>
        <v>0</v>
      </c>
      <c r="P56" s="289" t="s">
        <v>258</v>
      </c>
      <c r="Q56" s="289"/>
      <c r="R56" s="37"/>
      <c r="S56" s="416">
        <f t="shared" si="26"/>
        <v>0</v>
      </c>
      <c r="T56" s="289" t="s">
        <v>258</v>
      </c>
      <c r="U56" s="289"/>
      <c r="V56" s="37"/>
      <c r="W56" s="416">
        <f t="shared" si="18"/>
        <v>0</v>
      </c>
      <c r="X56" s="416">
        <f t="shared" si="27"/>
        <v>0</v>
      </c>
      <c r="Y56" s="419"/>
    </row>
    <row r="57" spans="1:26">
      <c r="A57" s="32"/>
      <c r="B57" s="33"/>
      <c r="C57" s="289"/>
      <c r="D57" s="289" t="s">
        <v>257</v>
      </c>
      <c r="E57" s="289"/>
      <c r="F57" s="37"/>
      <c r="G57" s="68">
        <f t="shared" si="24"/>
        <v>0</v>
      </c>
      <c r="H57" s="289" t="s">
        <v>257</v>
      </c>
      <c r="I57" s="289"/>
      <c r="J57" s="37"/>
      <c r="K57" s="68">
        <f t="shared" si="17"/>
        <v>0</v>
      </c>
      <c r="L57" s="289" t="s">
        <v>257</v>
      </c>
      <c r="M57" s="289"/>
      <c r="N57" s="37"/>
      <c r="O57" s="68">
        <f t="shared" si="25"/>
        <v>0</v>
      </c>
      <c r="P57" s="289" t="s">
        <v>257</v>
      </c>
      <c r="Q57" s="289"/>
      <c r="R57" s="37"/>
      <c r="S57" s="416">
        <f t="shared" si="26"/>
        <v>0</v>
      </c>
      <c r="T57" s="289" t="s">
        <v>257</v>
      </c>
      <c r="U57" s="289"/>
      <c r="V57" s="37"/>
      <c r="W57" s="416">
        <f t="shared" si="18"/>
        <v>0</v>
      </c>
      <c r="X57" s="416">
        <f t="shared" si="27"/>
        <v>0</v>
      </c>
      <c r="Y57" s="419"/>
    </row>
    <row r="58" spans="1:26">
      <c r="A58" s="32"/>
      <c r="B58" s="33"/>
      <c r="C58" s="289"/>
      <c r="D58" s="289" t="s">
        <v>257</v>
      </c>
      <c r="E58" s="289"/>
      <c r="F58" s="37"/>
      <c r="G58" s="68">
        <f t="shared" si="24"/>
        <v>0</v>
      </c>
      <c r="H58" s="289" t="s">
        <v>257</v>
      </c>
      <c r="I58" s="289"/>
      <c r="J58" s="37"/>
      <c r="K58" s="68">
        <f t="shared" si="17"/>
        <v>0</v>
      </c>
      <c r="L58" s="289" t="s">
        <v>257</v>
      </c>
      <c r="M58" s="289"/>
      <c r="N58" s="37"/>
      <c r="O58" s="68">
        <f t="shared" si="25"/>
        <v>0</v>
      </c>
      <c r="P58" s="289" t="s">
        <v>257</v>
      </c>
      <c r="Q58" s="289"/>
      <c r="R58" s="37"/>
      <c r="S58" s="416">
        <f t="shared" si="26"/>
        <v>0</v>
      </c>
      <c r="T58" s="289" t="s">
        <v>257</v>
      </c>
      <c r="U58" s="289"/>
      <c r="V58" s="37"/>
      <c r="W58" s="416">
        <f t="shared" si="18"/>
        <v>0</v>
      </c>
      <c r="X58" s="416">
        <f t="shared" si="27"/>
        <v>0</v>
      </c>
      <c r="Y58" s="419"/>
    </row>
    <row r="59" spans="1:26">
      <c r="A59" s="32"/>
      <c r="B59" s="33"/>
      <c r="C59" s="289"/>
      <c r="D59" s="289"/>
      <c r="E59" s="289"/>
      <c r="F59" s="37"/>
      <c r="G59" s="68">
        <f t="shared" si="24"/>
        <v>0</v>
      </c>
      <c r="H59" s="289"/>
      <c r="I59" s="289"/>
      <c r="J59" s="37"/>
      <c r="K59" s="68"/>
      <c r="L59" s="68"/>
      <c r="M59" s="68"/>
      <c r="N59" s="68"/>
      <c r="O59" s="68">
        <f t="shared" si="25"/>
        <v>0</v>
      </c>
      <c r="P59" s="289" t="s">
        <v>257</v>
      </c>
      <c r="Q59" s="289"/>
      <c r="R59" s="68"/>
      <c r="S59" s="416">
        <f t="shared" si="26"/>
        <v>0</v>
      </c>
      <c r="T59" s="289" t="s">
        <v>257</v>
      </c>
      <c r="U59" s="289"/>
      <c r="V59" s="416"/>
      <c r="W59" s="416">
        <f t="shared" si="18"/>
        <v>0</v>
      </c>
      <c r="X59" s="416">
        <f t="shared" ref="X59" si="28">SUM(G59,K59,O59,S59)</f>
        <v>0</v>
      </c>
      <c r="Y59" s="419"/>
    </row>
    <row r="60" spans="1:26" s="22" customFormat="1" ht="27" customHeight="1">
      <c r="A60" s="43">
        <v>3</v>
      </c>
      <c r="B60" s="44" t="s">
        <v>278</v>
      </c>
      <c r="C60" s="45" t="s">
        <v>294</v>
      </c>
      <c r="D60" s="45"/>
      <c r="E60" s="45"/>
      <c r="F60" s="48"/>
      <c r="G60" s="48">
        <f>SUM(G61:G64)</f>
        <v>0</v>
      </c>
      <c r="H60" s="112"/>
      <c r="I60" s="112"/>
      <c r="J60" s="112"/>
      <c r="K60" s="48">
        <f>SUM(K61:K64)</f>
        <v>0</v>
      </c>
      <c r="L60" s="112"/>
      <c r="M60" s="112"/>
      <c r="N60" s="48"/>
      <c r="O60" s="48">
        <f>SUM(O61:O64)</f>
        <v>0</v>
      </c>
      <c r="P60" s="112"/>
      <c r="Q60" s="112"/>
      <c r="R60" s="112"/>
      <c r="S60" s="48">
        <f>SUM(S61:S64)</f>
        <v>0</v>
      </c>
      <c r="T60" s="48"/>
      <c r="U60" s="48"/>
      <c r="V60" s="48"/>
      <c r="W60" s="48">
        <f>SUM(W61:W64)</f>
        <v>0</v>
      </c>
      <c r="X60" s="48">
        <f>SUM(X61:X64)</f>
        <v>0</v>
      </c>
      <c r="Y60" s="145"/>
      <c r="Z60" s="50"/>
    </row>
    <row r="61" spans="1:26" ht="21" customHeight="1">
      <c r="A61" s="32"/>
      <c r="B61" s="33"/>
      <c r="C61" s="228"/>
      <c r="D61" s="228" t="s">
        <v>257</v>
      </c>
      <c r="E61" s="228"/>
      <c r="F61" s="37"/>
      <c r="G61" s="71">
        <f>E61*F61</f>
        <v>0</v>
      </c>
      <c r="H61" s="228" t="s">
        <v>257</v>
      </c>
      <c r="I61" s="228"/>
      <c r="J61" s="37"/>
      <c r="K61" s="71">
        <f t="shared" ref="K61:K64" si="29">I61*J61</f>
        <v>0</v>
      </c>
      <c r="L61" s="228" t="s">
        <v>257</v>
      </c>
      <c r="M61" s="228"/>
      <c r="N61" s="37"/>
      <c r="O61" s="71">
        <f>M61*N61*1.04</f>
        <v>0</v>
      </c>
      <c r="P61" s="228" t="s">
        <v>257</v>
      </c>
      <c r="Q61" s="228"/>
      <c r="R61" s="37"/>
      <c r="S61" s="416">
        <f>Q61*R61*1.04</f>
        <v>0</v>
      </c>
      <c r="T61" s="416" t="s">
        <v>257</v>
      </c>
      <c r="U61" s="416"/>
      <c r="V61" s="416"/>
      <c r="W61" s="416">
        <f>U61*V61</f>
        <v>0</v>
      </c>
      <c r="X61" s="416">
        <f>SUM(G61,K61,O61,S61,W61)</f>
        <v>0</v>
      </c>
      <c r="Y61" s="35"/>
    </row>
    <row r="62" spans="1:26">
      <c r="A62" s="32"/>
      <c r="B62" s="33"/>
      <c r="C62" s="228"/>
      <c r="D62" s="228" t="s">
        <v>257</v>
      </c>
      <c r="E62" s="228"/>
      <c r="F62" s="37"/>
      <c r="G62" s="71">
        <f t="shared" si="24"/>
        <v>0</v>
      </c>
      <c r="H62" s="228" t="s">
        <v>257</v>
      </c>
      <c r="I62" s="228"/>
      <c r="J62" s="37"/>
      <c r="K62" s="71">
        <f t="shared" si="29"/>
        <v>0</v>
      </c>
      <c r="L62" s="228" t="s">
        <v>257</v>
      </c>
      <c r="M62" s="228"/>
      <c r="N62" s="37"/>
      <c r="O62" s="71">
        <f t="shared" ref="O62:O64" si="30">M62*N62*1.04</f>
        <v>0</v>
      </c>
      <c r="P62" s="228" t="s">
        <v>257</v>
      </c>
      <c r="Q62" s="228"/>
      <c r="R62" s="37"/>
      <c r="S62" s="416">
        <f t="shared" ref="S62:S64" si="31">Q62*R62*1.04</f>
        <v>0</v>
      </c>
      <c r="T62" s="416" t="s">
        <v>257</v>
      </c>
      <c r="U62" s="416"/>
      <c r="V62" s="416"/>
      <c r="W62" s="416">
        <f t="shared" si="18"/>
        <v>0</v>
      </c>
      <c r="X62" s="416">
        <f t="shared" ref="X62:X64" si="32">SUM(G62,K62,O62,S62,W62)</f>
        <v>0</v>
      </c>
      <c r="Y62" s="35"/>
    </row>
    <row r="63" spans="1:26">
      <c r="A63" s="32"/>
      <c r="B63" s="33"/>
      <c r="C63" s="228"/>
      <c r="D63" s="228" t="s">
        <v>257</v>
      </c>
      <c r="E63" s="228"/>
      <c r="F63" s="37"/>
      <c r="G63" s="71">
        <f t="shared" si="24"/>
        <v>0</v>
      </c>
      <c r="H63" s="228" t="s">
        <v>257</v>
      </c>
      <c r="I63" s="228"/>
      <c r="J63" s="37"/>
      <c r="K63" s="71">
        <f t="shared" si="29"/>
        <v>0</v>
      </c>
      <c r="L63" s="228" t="s">
        <v>257</v>
      </c>
      <c r="M63" s="228"/>
      <c r="N63" s="37"/>
      <c r="O63" s="71">
        <f t="shared" si="30"/>
        <v>0</v>
      </c>
      <c r="P63" s="228" t="s">
        <v>257</v>
      </c>
      <c r="Q63" s="228"/>
      <c r="R63" s="37"/>
      <c r="S63" s="416">
        <f t="shared" si="31"/>
        <v>0</v>
      </c>
      <c r="T63" s="416" t="s">
        <v>257</v>
      </c>
      <c r="U63" s="416"/>
      <c r="V63" s="416"/>
      <c r="W63" s="416">
        <f t="shared" si="18"/>
        <v>0</v>
      </c>
      <c r="X63" s="416">
        <f t="shared" si="32"/>
        <v>0</v>
      </c>
      <c r="Y63" s="35"/>
    </row>
    <row r="64" spans="1:26">
      <c r="A64" s="32"/>
      <c r="B64" s="33"/>
      <c r="C64" s="228"/>
      <c r="D64" s="228"/>
      <c r="E64" s="228"/>
      <c r="F64" s="37"/>
      <c r="G64" s="71">
        <f t="shared" si="24"/>
        <v>0</v>
      </c>
      <c r="H64" s="71"/>
      <c r="I64" s="71"/>
      <c r="J64" s="71"/>
      <c r="K64" s="71">
        <f t="shared" si="29"/>
        <v>0</v>
      </c>
      <c r="L64" s="71"/>
      <c r="M64" s="71"/>
      <c r="N64" s="71"/>
      <c r="O64" s="71">
        <f t="shared" si="30"/>
        <v>0</v>
      </c>
      <c r="P64" s="228" t="s">
        <v>257</v>
      </c>
      <c r="Q64" s="228"/>
      <c r="R64" s="71"/>
      <c r="S64" s="416">
        <f t="shared" si="31"/>
        <v>0</v>
      </c>
      <c r="T64" s="416" t="s">
        <v>257</v>
      </c>
      <c r="U64" s="416"/>
      <c r="V64" s="416"/>
      <c r="W64" s="416">
        <f t="shared" si="18"/>
        <v>0</v>
      </c>
      <c r="X64" s="416">
        <f t="shared" si="32"/>
        <v>0</v>
      </c>
      <c r="Y64" s="35"/>
    </row>
    <row r="65" spans="1:26" hidden="1">
      <c r="A65" s="32"/>
      <c r="B65" s="33"/>
      <c r="C65" s="53"/>
      <c r="D65" s="53"/>
      <c r="E65" s="53"/>
      <c r="F65" s="37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416"/>
      <c r="T65" s="416"/>
      <c r="U65" s="416"/>
      <c r="V65" s="416"/>
      <c r="W65" s="416"/>
      <c r="X65" s="53"/>
      <c r="Y65" s="35"/>
    </row>
    <row r="66" spans="1:26" s="22" customFormat="1" ht="47.5" customHeight="1">
      <c r="A66" s="43">
        <v>4</v>
      </c>
      <c r="B66" s="44" t="s">
        <v>279</v>
      </c>
      <c r="C66" s="45" t="s">
        <v>295</v>
      </c>
      <c r="D66" s="45"/>
      <c r="E66" s="45"/>
      <c r="F66" s="48"/>
      <c r="G66" s="414">
        <f>SUM(G67:G73)</f>
        <v>0</v>
      </c>
      <c r="H66" s="414"/>
      <c r="I66" s="414"/>
      <c r="J66" s="414"/>
      <c r="K66" s="414">
        <f>SUM(K67:K73)</f>
        <v>0</v>
      </c>
      <c r="L66" s="414"/>
      <c r="M66" s="414"/>
      <c r="N66" s="414"/>
      <c r="O66" s="414">
        <f>SUM(O67:O73)</f>
        <v>0</v>
      </c>
      <c r="P66" s="414"/>
      <c r="Q66" s="414"/>
      <c r="R66" s="414"/>
      <c r="S66" s="414">
        <f>SUM(S67:S73)</f>
        <v>0</v>
      </c>
      <c r="T66" s="414"/>
      <c r="U66" s="414"/>
      <c r="V66" s="414"/>
      <c r="W66" s="414">
        <f>SUM(W67:W73)</f>
        <v>0</v>
      </c>
      <c r="X66" s="414">
        <f>SUM(X67:X73)</f>
        <v>0</v>
      </c>
      <c r="Y66" s="415"/>
      <c r="Z66" s="50"/>
    </row>
    <row r="67" spans="1:26" ht="25">
      <c r="A67" s="32"/>
      <c r="B67" s="33"/>
      <c r="C67" s="228" t="s">
        <v>283</v>
      </c>
      <c r="D67" s="228" t="s">
        <v>257</v>
      </c>
      <c r="E67" s="228"/>
      <c r="F67" s="37"/>
      <c r="G67" s="71">
        <f t="shared" ref="G67:G86" si="33">E67*F67</f>
        <v>0</v>
      </c>
      <c r="H67" s="228" t="s">
        <v>257</v>
      </c>
      <c r="I67" s="228"/>
      <c r="J67" s="37"/>
      <c r="K67" s="71">
        <f t="shared" ref="K67:K95" si="34">I67*J67</f>
        <v>0</v>
      </c>
      <c r="L67" s="228" t="s">
        <v>257</v>
      </c>
      <c r="M67" s="228"/>
      <c r="N67" s="37"/>
      <c r="O67" s="71">
        <f>M67*N67*1.04</f>
        <v>0</v>
      </c>
      <c r="P67" s="228" t="s">
        <v>257</v>
      </c>
      <c r="Q67" s="228"/>
      <c r="R67" s="37"/>
      <c r="S67" s="416">
        <f>Q67*R67*1.04</f>
        <v>0</v>
      </c>
      <c r="T67" s="228" t="s">
        <v>257</v>
      </c>
      <c r="U67" s="228"/>
      <c r="V67" s="416"/>
      <c r="W67" s="416">
        <f t="shared" ref="W67:W95" si="35">U67*V67</f>
        <v>0</v>
      </c>
      <c r="X67" s="416">
        <f>SUM(G67,K67,O67,S67,W67)</f>
        <v>0</v>
      </c>
      <c r="Y67" s="35"/>
    </row>
    <row r="68" spans="1:26">
      <c r="A68" s="32"/>
      <c r="B68" s="33"/>
      <c r="C68" s="228"/>
      <c r="D68" s="228" t="s">
        <v>257</v>
      </c>
      <c r="E68" s="228"/>
      <c r="F68" s="37"/>
      <c r="G68" s="71">
        <f t="shared" si="33"/>
        <v>0</v>
      </c>
      <c r="H68" s="228" t="s">
        <v>257</v>
      </c>
      <c r="I68" s="228"/>
      <c r="J68" s="37"/>
      <c r="K68" s="71">
        <f t="shared" si="34"/>
        <v>0</v>
      </c>
      <c r="L68" s="228" t="s">
        <v>257</v>
      </c>
      <c r="M68" s="228"/>
      <c r="N68" s="37"/>
      <c r="O68" s="71">
        <f t="shared" ref="O68:O73" si="36">M68*N68*1.04</f>
        <v>0</v>
      </c>
      <c r="P68" s="228" t="s">
        <v>257</v>
      </c>
      <c r="Q68" s="228"/>
      <c r="R68" s="37"/>
      <c r="S68" s="416">
        <f t="shared" ref="S68:S73" si="37">Q68*R68*1.04</f>
        <v>0</v>
      </c>
      <c r="T68" s="228" t="s">
        <v>257</v>
      </c>
      <c r="U68" s="228"/>
      <c r="V68" s="416"/>
      <c r="W68" s="416">
        <f t="shared" si="35"/>
        <v>0</v>
      </c>
      <c r="X68" s="416">
        <f t="shared" ref="X68:X73" si="38">SUM(G68,K68,O68,S68,W68)</f>
        <v>0</v>
      </c>
      <c r="Y68" s="35"/>
    </row>
    <row r="69" spans="1:26">
      <c r="A69" s="32"/>
      <c r="B69" s="33"/>
      <c r="C69" s="228"/>
      <c r="D69" s="228" t="s">
        <v>257</v>
      </c>
      <c r="E69" s="228"/>
      <c r="F69" s="37"/>
      <c r="G69" s="71">
        <f t="shared" si="33"/>
        <v>0</v>
      </c>
      <c r="H69" s="228" t="s">
        <v>257</v>
      </c>
      <c r="I69" s="228"/>
      <c r="J69" s="37"/>
      <c r="K69" s="71">
        <f t="shared" si="34"/>
        <v>0</v>
      </c>
      <c r="L69" s="228" t="s">
        <v>257</v>
      </c>
      <c r="M69" s="228"/>
      <c r="N69" s="37"/>
      <c r="O69" s="71">
        <f t="shared" si="36"/>
        <v>0</v>
      </c>
      <c r="P69" s="228" t="s">
        <v>257</v>
      </c>
      <c r="Q69" s="228"/>
      <c r="R69" s="37"/>
      <c r="S69" s="416">
        <f t="shared" si="37"/>
        <v>0</v>
      </c>
      <c r="T69" s="228" t="s">
        <v>257</v>
      </c>
      <c r="U69" s="228"/>
      <c r="V69" s="416"/>
      <c r="W69" s="416">
        <f t="shared" si="35"/>
        <v>0</v>
      </c>
      <c r="X69" s="416">
        <f t="shared" si="38"/>
        <v>0</v>
      </c>
      <c r="Y69" s="35"/>
    </row>
    <row r="70" spans="1:26">
      <c r="A70" s="32"/>
      <c r="B70" s="33"/>
      <c r="C70" s="228"/>
      <c r="D70" s="228" t="s">
        <v>257</v>
      </c>
      <c r="E70" s="228"/>
      <c r="F70" s="37"/>
      <c r="G70" s="71">
        <f t="shared" si="33"/>
        <v>0</v>
      </c>
      <c r="H70" s="228" t="s">
        <v>257</v>
      </c>
      <c r="I70" s="228"/>
      <c r="J70" s="37"/>
      <c r="K70" s="71">
        <f t="shared" si="34"/>
        <v>0</v>
      </c>
      <c r="L70" s="228" t="s">
        <v>257</v>
      </c>
      <c r="M70" s="228"/>
      <c r="N70" s="37"/>
      <c r="O70" s="71">
        <f t="shared" si="36"/>
        <v>0</v>
      </c>
      <c r="P70" s="228" t="s">
        <v>257</v>
      </c>
      <c r="Q70" s="228"/>
      <c r="R70" s="37"/>
      <c r="S70" s="416">
        <f t="shared" si="37"/>
        <v>0</v>
      </c>
      <c r="T70" s="228" t="s">
        <v>257</v>
      </c>
      <c r="U70" s="228"/>
      <c r="V70" s="416"/>
      <c r="W70" s="416">
        <f t="shared" si="35"/>
        <v>0</v>
      </c>
      <c r="X70" s="416">
        <f t="shared" si="38"/>
        <v>0</v>
      </c>
      <c r="Y70" s="35"/>
    </row>
    <row r="71" spans="1:26">
      <c r="A71" s="32"/>
      <c r="B71" s="33"/>
      <c r="C71" s="228"/>
      <c r="D71" s="228" t="s">
        <v>257</v>
      </c>
      <c r="E71" s="228"/>
      <c r="F71" s="37"/>
      <c r="G71" s="71">
        <f t="shared" si="33"/>
        <v>0</v>
      </c>
      <c r="H71" s="228" t="s">
        <v>257</v>
      </c>
      <c r="I71" s="228"/>
      <c r="J71" s="37"/>
      <c r="K71" s="71">
        <f t="shared" si="34"/>
        <v>0</v>
      </c>
      <c r="L71" s="228" t="s">
        <v>257</v>
      </c>
      <c r="M71" s="228"/>
      <c r="N71" s="37"/>
      <c r="O71" s="71">
        <f t="shared" si="36"/>
        <v>0</v>
      </c>
      <c r="P71" s="228" t="s">
        <v>257</v>
      </c>
      <c r="Q71" s="228"/>
      <c r="R71" s="37"/>
      <c r="S71" s="416">
        <f t="shared" si="37"/>
        <v>0</v>
      </c>
      <c r="T71" s="228" t="s">
        <v>257</v>
      </c>
      <c r="U71" s="228"/>
      <c r="V71" s="416"/>
      <c r="W71" s="416">
        <f t="shared" si="35"/>
        <v>0</v>
      </c>
      <c r="X71" s="416">
        <f t="shared" si="38"/>
        <v>0</v>
      </c>
      <c r="Y71" s="35"/>
    </row>
    <row r="72" spans="1:26">
      <c r="A72" s="32"/>
      <c r="B72" s="33"/>
      <c r="C72" s="228"/>
      <c r="D72" s="228"/>
      <c r="E72" s="228"/>
      <c r="F72" s="37"/>
      <c r="G72" s="71">
        <f t="shared" si="33"/>
        <v>0</v>
      </c>
      <c r="H72" s="228"/>
      <c r="I72" s="228"/>
      <c r="J72" s="37"/>
      <c r="K72" s="71">
        <f t="shared" si="34"/>
        <v>0</v>
      </c>
      <c r="L72" s="228"/>
      <c r="M72" s="228"/>
      <c r="N72" s="37"/>
      <c r="O72" s="71">
        <f t="shared" si="36"/>
        <v>0</v>
      </c>
      <c r="P72" s="228" t="s">
        <v>257</v>
      </c>
      <c r="Q72" s="228"/>
      <c r="R72" s="37"/>
      <c r="S72" s="416">
        <f t="shared" si="37"/>
        <v>0</v>
      </c>
      <c r="T72" s="228" t="s">
        <v>257</v>
      </c>
      <c r="U72" s="228"/>
      <c r="V72" s="416"/>
      <c r="W72" s="416">
        <f t="shared" si="35"/>
        <v>0</v>
      </c>
      <c r="X72" s="416">
        <f t="shared" si="38"/>
        <v>0</v>
      </c>
      <c r="Y72" s="35"/>
    </row>
    <row r="73" spans="1:26">
      <c r="A73" s="32"/>
      <c r="B73" s="33"/>
      <c r="C73" s="228"/>
      <c r="D73" s="228"/>
      <c r="E73" s="228"/>
      <c r="F73" s="37"/>
      <c r="G73" s="71">
        <f t="shared" si="33"/>
        <v>0</v>
      </c>
      <c r="H73" s="71"/>
      <c r="I73" s="71"/>
      <c r="J73" s="71"/>
      <c r="K73" s="71">
        <f t="shared" si="34"/>
        <v>0</v>
      </c>
      <c r="L73" s="71"/>
      <c r="M73" s="71"/>
      <c r="N73" s="71"/>
      <c r="O73" s="71">
        <f t="shared" si="36"/>
        <v>0</v>
      </c>
      <c r="P73" s="228" t="s">
        <v>257</v>
      </c>
      <c r="Q73" s="228"/>
      <c r="R73" s="37"/>
      <c r="S73" s="416">
        <f t="shared" si="37"/>
        <v>0</v>
      </c>
      <c r="T73" s="228" t="s">
        <v>257</v>
      </c>
      <c r="U73" s="228"/>
      <c r="V73" s="416"/>
      <c r="W73" s="416">
        <f t="shared" si="35"/>
        <v>0</v>
      </c>
      <c r="X73" s="416">
        <f t="shared" si="38"/>
        <v>0</v>
      </c>
      <c r="Y73" s="35"/>
    </row>
    <row r="74" spans="1:26" s="22" customFormat="1" ht="39.5" customHeight="1">
      <c r="A74" s="43">
        <v>6</v>
      </c>
      <c r="B74" s="44" t="s">
        <v>280</v>
      </c>
      <c r="C74" s="45" t="s">
        <v>296</v>
      </c>
      <c r="D74" s="45"/>
      <c r="E74" s="45"/>
      <c r="F74" s="48"/>
      <c r="G74" s="414">
        <f>SUM(G75:G86)</f>
        <v>0</v>
      </c>
      <c r="H74" s="414"/>
      <c r="I74" s="414"/>
      <c r="J74" s="414"/>
      <c r="K74" s="414">
        <f>SUM(K75:K86)</f>
        <v>0</v>
      </c>
      <c r="L74" s="414"/>
      <c r="M74" s="414"/>
      <c r="N74" s="414"/>
      <c r="O74" s="414">
        <f>SUM(O75:O86)</f>
        <v>0</v>
      </c>
      <c r="P74" s="414"/>
      <c r="Q74" s="414"/>
      <c r="R74" s="414"/>
      <c r="S74" s="414">
        <f>SUM(S75:S86)</f>
        <v>0</v>
      </c>
      <c r="T74" s="414"/>
      <c r="U74" s="414"/>
      <c r="V74" s="414"/>
      <c r="W74" s="414">
        <f>SUM(W75:W86)</f>
        <v>0</v>
      </c>
      <c r="X74" s="414">
        <f>SUM(X75:X86)</f>
        <v>0</v>
      </c>
      <c r="Y74" s="415"/>
      <c r="Z74" s="50"/>
    </row>
    <row r="75" spans="1:26">
      <c r="A75" s="32"/>
      <c r="B75" s="33"/>
      <c r="C75" s="228"/>
      <c r="D75" s="228" t="s">
        <v>257</v>
      </c>
      <c r="E75" s="228"/>
      <c r="F75" s="37"/>
      <c r="G75" s="71">
        <f t="shared" si="33"/>
        <v>0</v>
      </c>
      <c r="H75" s="228" t="s">
        <v>257</v>
      </c>
      <c r="I75" s="228"/>
      <c r="J75" s="37"/>
      <c r="K75" s="71">
        <f>I75*J75</f>
        <v>0</v>
      </c>
      <c r="L75" s="228" t="s">
        <v>257</v>
      </c>
      <c r="M75" s="228"/>
      <c r="N75" s="37"/>
      <c r="O75" s="71">
        <f>M75*N75*1.04</f>
        <v>0</v>
      </c>
      <c r="P75" s="228" t="s">
        <v>257</v>
      </c>
      <c r="Q75" s="228"/>
      <c r="R75" s="37"/>
      <c r="S75" s="416">
        <f>Q75*R75*1.04</f>
        <v>0</v>
      </c>
      <c r="T75" s="228" t="s">
        <v>257</v>
      </c>
      <c r="U75" s="228"/>
      <c r="V75" s="416"/>
      <c r="W75" s="416">
        <f t="shared" si="35"/>
        <v>0</v>
      </c>
      <c r="X75" s="416">
        <f>SUM(G75,K75,O75,S75,W75)</f>
        <v>0</v>
      </c>
      <c r="Y75" s="35"/>
    </row>
    <row r="76" spans="1:26">
      <c r="A76" s="32"/>
      <c r="B76" s="33"/>
      <c r="C76" s="228"/>
      <c r="D76" s="228" t="s">
        <v>257</v>
      </c>
      <c r="E76" s="228"/>
      <c r="F76" s="37"/>
      <c r="G76" s="71">
        <f t="shared" si="33"/>
        <v>0</v>
      </c>
      <c r="H76" s="228" t="s">
        <v>257</v>
      </c>
      <c r="I76" s="228"/>
      <c r="J76" s="37"/>
      <c r="K76" s="71">
        <f>I76*J76</f>
        <v>0</v>
      </c>
      <c r="L76" s="228" t="s">
        <v>257</v>
      </c>
      <c r="M76" s="228"/>
      <c r="N76" s="37"/>
      <c r="O76" s="71">
        <f t="shared" ref="O76:O86" si="39">M76*N76*1.04</f>
        <v>0</v>
      </c>
      <c r="P76" s="228" t="s">
        <v>257</v>
      </c>
      <c r="Q76" s="228"/>
      <c r="R76" s="37"/>
      <c r="S76" s="416">
        <f t="shared" ref="S76:S86" si="40">Q76*R76*1.04</f>
        <v>0</v>
      </c>
      <c r="T76" s="228" t="s">
        <v>257</v>
      </c>
      <c r="U76" s="228"/>
      <c r="V76" s="416"/>
      <c r="W76" s="416">
        <f t="shared" si="35"/>
        <v>0</v>
      </c>
      <c r="X76" s="416">
        <f t="shared" ref="X76:X86" si="41">SUM(G76,K76,O76,S76,W76)</f>
        <v>0</v>
      </c>
      <c r="Y76" s="35"/>
    </row>
    <row r="77" spans="1:26">
      <c r="A77" s="32"/>
      <c r="B77" s="33"/>
      <c r="C77" s="228"/>
      <c r="D77" s="228" t="s">
        <v>257</v>
      </c>
      <c r="E77" s="228"/>
      <c r="F77" s="37"/>
      <c r="G77" s="71">
        <f t="shared" si="33"/>
        <v>0</v>
      </c>
      <c r="H77" s="228" t="s">
        <v>257</v>
      </c>
      <c r="I77" s="228"/>
      <c r="J77" s="37"/>
      <c r="K77" s="71">
        <f t="shared" si="34"/>
        <v>0</v>
      </c>
      <c r="L77" s="228" t="s">
        <v>257</v>
      </c>
      <c r="M77" s="228"/>
      <c r="N77" s="37"/>
      <c r="O77" s="71">
        <f t="shared" si="39"/>
        <v>0</v>
      </c>
      <c r="P77" s="228" t="s">
        <v>257</v>
      </c>
      <c r="Q77" s="228"/>
      <c r="R77" s="37"/>
      <c r="S77" s="416">
        <f t="shared" si="40"/>
        <v>0</v>
      </c>
      <c r="T77" s="228" t="s">
        <v>257</v>
      </c>
      <c r="U77" s="228"/>
      <c r="V77" s="416"/>
      <c r="W77" s="416">
        <f t="shared" si="35"/>
        <v>0</v>
      </c>
      <c r="X77" s="416">
        <f t="shared" si="41"/>
        <v>0</v>
      </c>
      <c r="Y77" s="35"/>
    </row>
    <row r="78" spans="1:26">
      <c r="A78" s="32"/>
      <c r="B78" s="33"/>
      <c r="C78" s="228"/>
      <c r="D78" s="228" t="s">
        <v>257</v>
      </c>
      <c r="E78" s="228"/>
      <c r="F78" s="37"/>
      <c r="G78" s="71">
        <f t="shared" si="33"/>
        <v>0</v>
      </c>
      <c r="H78" s="228" t="s">
        <v>257</v>
      </c>
      <c r="I78" s="228"/>
      <c r="J78" s="37"/>
      <c r="K78" s="71">
        <f t="shared" si="34"/>
        <v>0</v>
      </c>
      <c r="L78" s="228" t="s">
        <v>257</v>
      </c>
      <c r="M78" s="228"/>
      <c r="N78" s="37"/>
      <c r="O78" s="71">
        <f t="shared" si="39"/>
        <v>0</v>
      </c>
      <c r="P78" s="228" t="s">
        <v>257</v>
      </c>
      <c r="Q78" s="228"/>
      <c r="R78" s="37"/>
      <c r="S78" s="416">
        <f t="shared" si="40"/>
        <v>0</v>
      </c>
      <c r="T78" s="228" t="s">
        <v>257</v>
      </c>
      <c r="U78" s="228"/>
      <c r="V78" s="416"/>
      <c r="W78" s="416">
        <f t="shared" si="35"/>
        <v>0</v>
      </c>
      <c r="X78" s="416">
        <f t="shared" si="41"/>
        <v>0</v>
      </c>
      <c r="Y78" s="35"/>
    </row>
    <row r="79" spans="1:26">
      <c r="A79" s="32"/>
      <c r="B79" s="33"/>
      <c r="C79" s="228"/>
      <c r="D79" s="228" t="s">
        <v>257</v>
      </c>
      <c r="E79" s="228"/>
      <c r="F79" s="37"/>
      <c r="G79" s="71">
        <f t="shared" si="33"/>
        <v>0</v>
      </c>
      <c r="H79" s="228" t="s">
        <v>257</v>
      </c>
      <c r="I79" s="228"/>
      <c r="J79" s="37"/>
      <c r="K79" s="71">
        <f t="shared" si="34"/>
        <v>0</v>
      </c>
      <c r="L79" s="228" t="s">
        <v>257</v>
      </c>
      <c r="M79" s="228"/>
      <c r="N79" s="37"/>
      <c r="O79" s="71">
        <f t="shared" si="39"/>
        <v>0</v>
      </c>
      <c r="P79" s="228" t="s">
        <v>257</v>
      </c>
      <c r="Q79" s="228"/>
      <c r="R79" s="37"/>
      <c r="S79" s="416">
        <f t="shared" si="40"/>
        <v>0</v>
      </c>
      <c r="T79" s="228" t="s">
        <v>257</v>
      </c>
      <c r="U79" s="228"/>
      <c r="V79" s="416"/>
      <c r="W79" s="416">
        <f t="shared" si="35"/>
        <v>0</v>
      </c>
      <c r="X79" s="416">
        <f t="shared" si="41"/>
        <v>0</v>
      </c>
      <c r="Y79" s="35"/>
    </row>
    <row r="80" spans="1:26">
      <c r="A80" s="32"/>
      <c r="B80" s="33"/>
      <c r="C80" s="228"/>
      <c r="D80" s="228" t="s">
        <v>257</v>
      </c>
      <c r="E80" s="228"/>
      <c r="F80" s="37"/>
      <c r="G80" s="71">
        <f t="shared" si="33"/>
        <v>0</v>
      </c>
      <c r="H80" s="228" t="s">
        <v>257</v>
      </c>
      <c r="I80" s="228"/>
      <c r="J80" s="37"/>
      <c r="K80" s="71">
        <f t="shared" si="34"/>
        <v>0</v>
      </c>
      <c r="L80" s="228" t="s">
        <v>257</v>
      </c>
      <c r="M80" s="228"/>
      <c r="N80" s="37"/>
      <c r="O80" s="71">
        <f t="shared" si="39"/>
        <v>0</v>
      </c>
      <c r="P80" s="228" t="s">
        <v>257</v>
      </c>
      <c r="Q80" s="228"/>
      <c r="R80" s="37"/>
      <c r="S80" s="416">
        <f t="shared" si="40"/>
        <v>0</v>
      </c>
      <c r="T80" s="228" t="s">
        <v>257</v>
      </c>
      <c r="U80" s="228"/>
      <c r="V80" s="416"/>
      <c r="W80" s="416">
        <f t="shared" si="35"/>
        <v>0</v>
      </c>
      <c r="X80" s="416">
        <f t="shared" si="41"/>
        <v>0</v>
      </c>
      <c r="Y80" s="35"/>
    </row>
    <row r="81" spans="1:26">
      <c r="A81" s="32"/>
      <c r="B81" s="33"/>
      <c r="C81" s="228"/>
      <c r="D81" s="228" t="s">
        <v>257</v>
      </c>
      <c r="E81" s="228"/>
      <c r="F81" s="37"/>
      <c r="G81" s="71">
        <f t="shared" si="33"/>
        <v>0</v>
      </c>
      <c r="H81" s="228" t="s">
        <v>257</v>
      </c>
      <c r="I81" s="228"/>
      <c r="J81" s="37"/>
      <c r="K81" s="71">
        <f t="shared" si="34"/>
        <v>0</v>
      </c>
      <c r="L81" s="228" t="s">
        <v>257</v>
      </c>
      <c r="M81" s="228"/>
      <c r="N81" s="37"/>
      <c r="O81" s="71">
        <f t="shared" si="39"/>
        <v>0</v>
      </c>
      <c r="P81" s="228" t="s">
        <v>257</v>
      </c>
      <c r="Q81" s="228"/>
      <c r="R81" s="37"/>
      <c r="S81" s="416">
        <f t="shared" si="40"/>
        <v>0</v>
      </c>
      <c r="T81" s="228" t="s">
        <v>257</v>
      </c>
      <c r="U81" s="228"/>
      <c r="V81" s="416"/>
      <c r="W81" s="416">
        <f t="shared" si="35"/>
        <v>0</v>
      </c>
      <c r="X81" s="416">
        <f t="shared" si="41"/>
        <v>0</v>
      </c>
      <c r="Y81" s="35"/>
    </row>
    <row r="82" spans="1:26">
      <c r="A82" s="32"/>
      <c r="B82" s="33"/>
      <c r="C82" s="228"/>
      <c r="D82" s="228" t="s">
        <v>257</v>
      </c>
      <c r="E82" s="228"/>
      <c r="F82" s="37"/>
      <c r="G82" s="71">
        <f t="shared" si="33"/>
        <v>0</v>
      </c>
      <c r="H82" s="228" t="s">
        <v>257</v>
      </c>
      <c r="I82" s="228"/>
      <c r="J82" s="37"/>
      <c r="K82" s="71">
        <f t="shared" si="34"/>
        <v>0</v>
      </c>
      <c r="L82" s="228" t="s">
        <v>257</v>
      </c>
      <c r="M82" s="228"/>
      <c r="N82" s="37"/>
      <c r="O82" s="71">
        <f t="shared" si="39"/>
        <v>0</v>
      </c>
      <c r="P82" s="228" t="s">
        <v>257</v>
      </c>
      <c r="Q82" s="228"/>
      <c r="R82" s="37"/>
      <c r="S82" s="416">
        <f t="shared" si="40"/>
        <v>0</v>
      </c>
      <c r="T82" s="228" t="s">
        <v>257</v>
      </c>
      <c r="U82" s="228"/>
      <c r="V82" s="416"/>
      <c r="W82" s="416">
        <f t="shared" si="35"/>
        <v>0</v>
      </c>
      <c r="X82" s="416">
        <f t="shared" si="41"/>
        <v>0</v>
      </c>
      <c r="Y82" s="35"/>
    </row>
    <row r="83" spans="1:26">
      <c r="A83" s="32"/>
      <c r="B83" s="33"/>
      <c r="C83" s="228"/>
      <c r="D83" s="228" t="s">
        <v>257</v>
      </c>
      <c r="E83" s="228"/>
      <c r="F83" s="37"/>
      <c r="G83" s="71">
        <f t="shared" si="33"/>
        <v>0</v>
      </c>
      <c r="H83" s="228" t="s">
        <v>257</v>
      </c>
      <c r="I83" s="228"/>
      <c r="J83" s="37"/>
      <c r="K83" s="71">
        <f t="shared" si="34"/>
        <v>0</v>
      </c>
      <c r="L83" s="228" t="s">
        <v>257</v>
      </c>
      <c r="M83" s="228"/>
      <c r="N83" s="37"/>
      <c r="O83" s="71">
        <f t="shared" si="39"/>
        <v>0</v>
      </c>
      <c r="P83" s="228" t="s">
        <v>257</v>
      </c>
      <c r="Q83" s="228"/>
      <c r="R83" s="37"/>
      <c r="S83" s="416">
        <f t="shared" si="40"/>
        <v>0</v>
      </c>
      <c r="T83" s="228" t="s">
        <v>257</v>
      </c>
      <c r="U83" s="228"/>
      <c r="V83" s="416"/>
      <c r="W83" s="416">
        <f t="shared" si="35"/>
        <v>0</v>
      </c>
      <c r="X83" s="416">
        <f t="shared" si="41"/>
        <v>0</v>
      </c>
      <c r="Y83" s="35"/>
    </row>
    <row r="84" spans="1:26" hidden="1">
      <c r="A84" s="32"/>
      <c r="B84" s="33"/>
      <c r="C84" s="228"/>
      <c r="D84" s="228"/>
      <c r="E84" s="228"/>
      <c r="F84" s="37"/>
      <c r="G84" s="71">
        <f t="shared" si="33"/>
        <v>0</v>
      </c>
      <c r="H84" s="71"/>
      <c r="I84" s="71"/>
      <c r="J84" s="71"/>
      <c r="K84" s="71">
        <f t="shared" si="34"/>
        <v>0</v>
      </c>
      <c r="L84" s="71"/>
      <c r="M84" s="71"/>
      <c r="N84" s="71"/>
      <c r="O84" s="71">
        <f t="shared" si="39"/>
        <v>0</v>
      </c>
      <c r="P84" s="71"/>
      <c r="Q84" s="71"/>
      <c r="R84" s="71"/>
      <c r="S84" s="416">
        <f t="shared" si="40"/>
        <v>0</v>
      </c>
      <c r="T84" s="228" t="s">
        <v>257</v>
      </c>
      <c r="U84" s="228"/>
      <c r="V84" s="416"/>
      <c r="W84" s="416">
        <f t="shared" si="35"/>
        <v>0</v>
      </c>
      <c r="X84" s="416">
        <f t="shared" si="41"/>
        <v>0</v>
      </c>
      <c r="Y84" s="35"/>
    </row>
    <row r="85" spans="1:26" hidden="1">
      <c r="A85" s="32"/>
      <c r="B85" s="33"/>
      <c r="C85" s="228"/>
      <c r="D85" s="228"/>
      <c r="E85" s="228"/>
      <c r="F85" s="37"/>
      <c r="G85" s="71">
        <f t="shared" si="33"/>
        <v>0</v>
      </c>
      <c r="H85" s="71"/>
      <c r="I85" s="71"/>
      <c r="J85" s="71"/>
      <c r="K85" s="71">
        <f t="shared" si="34"/>
        <v>0</v>
      </c>
      <c r="L85" s="71"/>
      <c r="M85" s="71"/>
      <c r="N85" s="71"/>
      <c r="O85" s="71">
        <f t="shared" si="39"/>
        <v>0</v>
      </c>
      <c r="P85" s="71"/>
      <c r="Q85" s="71"/>
      <c r="R85" s="71"/>
      <c r="S85" s="416">
        <f t="shared" si="40"/>
        <v>0</v>
      </c>
      <c r="T85" s="228" t="s">
        <v>257</v>
      </c>
      <c r="U85" s="228"/>
      <c r="V85" s="416"/>
      <c r="W85" s="416">
        <f t="shared" si="35"/>
        <v>0</v>
      </c>
      <c r="X85" s="416">
        <f t="shared" si="41"/>
        <v>0</v>
      </c>
      <c r="Y85" s="35"/>
    </row>
    <row r="86" spans="1:26">
      <c r="A86" s="32"/>
      <c r="B86" s="33"/>
      <c r="C86" s="228"/>
      <c r="D86" s="228"/>
      <c r="E86" s="228"/>
      <c r="F86" s="37"/>
      <c r="G86" s="71">
        <f t="shared" si="33"/>
        <v>0</v>
      </c>
      <c r="H86" s="71"/>
      <c r="I86" s="71"/>
      <c r="J86" s="71"/>
      <c r="K86" s="71">
        <f t="shared" si="34"/>
        <v>0</v>
      </c>
      <c r="L86" s="71"/>
      <c r="M86" s="71"/>
      <c r="N86" s="71"/>
      <c r="O86" s="71">
        <f t="shared" si="39"/>
        <v>0</v>
      </c>
      <c r="P86" s="71"/>
      <c r="Q86" s="71"/>
      <c r="R86" s="71"/>
      <c r="S86" s="416">
        <f t="shared" si="40"/>
        <v>0</v>
      </c>
      <c r="T86" s="228" t="s">
        <v>257</v>
      </c>
      <c r="U86" s="228"/>
      <c r="V86" s="416"/>
      <c r="W86" s="416">
        <f t="shared" si="35"/>
        <v>0</v>
      </c>
      <c r="X86" s="416">
        <f t="shared" si="41"/>
        <v>0</v>
      </c>
      <c r="Y86" s="35"/>
    </row>
    <row r="87" spans="1:26" s="22" customFormat="1" ht="45" customHeight="1">
      <c r="A87" s="43">
        <v>7</v>
      </c>
      <c r="B87" s="44" t="s">
        <v>281</v>
      </c>
      <c r="C87" s="45" t="s">
        <v>297</v>
      </c>
      <c r="D87" s="45"/>
      <c r="E87" s="45"/>
      <c r="F87" s="48"/>
      <c r="G87" s="414">
        <f>SUM(G88:G97)</f>
        <v>0</v>
      </c>
      <c r="H87" s="414"/>
      <c r="I87" s="414"/>
      <c r="J87" s="414"/>
      <c r="K87" s="414">
        <f>SUM(K88:K97)</f>
        <v>0</v>
      </c>
      <c r="L87" s="414"/>
      <c r="M87" s="414"/>
      <c r="N87" s="414"/>
      <c r="O87" s="414">
        <f>SUM(O88:O97)</f>
        <v>0</v>
      </c>
      <c r="P87" s="414"/>
      <c r="Q87" s="414"/>
      <c r="R87" s="414"/>
      <c r="S87" s="414">
        <f>SUM(S88:S97)</f>
        <v>0</v>
      </c>
      <c r="T87" s="414"/>
      <c r="U87" s="414"/>
      <c r="V87" s="414"/>
      <c r="W87" s="414">
        <f>SUM(W88:W97)</f>
        <v>0</v>
      </c>
      <c r="X87" s="414">
        <f>SUM(X88:X97)</f>
        <v>0</v>
      </c>
      <c r="Y87" s="415"/>
      <c r="Z87" s="50"/>
    </row>
    <row r="88" spans="1:26" s="22" customFormat="1" ht="13">
      <c r="A88" s="56"/>
      <c r="B88" s="33"/>
      <c r="C88" s="228"/>
      <c r="D88" s="228" t="s">
        <v>257</v>
      </c>
      <c r="E88" s="228"/>
      <c r="F88" s="37"/>
      <c r="G88" s="71">
        <f>E88*F88</f>
        <v>0</v>
      </c>
      <c r="H88" s="228" t="s">
        <v>257</v>
      </c>
      <c r="I88" s="228"/>
      <c r="J88" s="37"/>
      <c r="K88" s="71">
        <f t="shared" si="34"/>
        <v>0</v>
      </c>
      <c r="L88" s="228" t="s">
        <v>257</v>
      </c>
      <c r="M88" s="228"/>
      <c r="N88" s="37"/>
      <c r="O88" s="71">
        <f>M88*N88*1.04</f>
        <v>0</v>
      </c>
      <c r="P88" s="228" t="s">
        <v>257</v>
      </c>
      <c r="Q88" s="228"/>
      <c r="R88" s="37"/>
      <c r="S88" s="416">
        <f>Q88*R88*1.04</f>
        <v>0</v>
      </c>
      <c r="T88" s="228" t="s">
        <v>257</v>
      </c>
      <c r="U88" s="228"/>
      <c r="V88" s="37"/>
      <c r="W88" s="416">
        <f t="shared" si="35"/>
        <v>0</v>
      </c>
      <c r="X88" s="416">
        <f>SUM(G88,K88,O88,S88,W88)</f>
        <v>0</v>
      </c>
      <c r="Y88" s="57"/>
    </row>
    <row r="89" spans="1:26" s="22" customFormat="1" ht="13">
      <c r="A89" s="56"/>
      <c r="B89" s="33"/>
      <c r="C89" s="228"/>
      <c r="D89" s="228" t="s">
        <v>257</v>
      </c>
      <c r="E89" s="228"/>
      <c r="F89" s="37"/>
      <c r="G89" s="71">
        <f t="shared" ref="G89:G95" si="42">E89*F89</f>
        <v>0</v>
      </c>
      <c r="H89" s="228" t="s">
        <v>257</v>
      </c>
      <c r="I89" s="228"/>
      <c r="J89" s="37"/>
      <c r="K89" s="71">
        <f t="shared" si="34"/>
        <v>0</v>
      </c>
      <c r="L89" s="228" t="s">
        <v>257</v>
      </c>
      <c r="M89" s="228"/>
      <c r="N89" s="37"/>
      <c r="O89" s="71">
        <f t="shared" ref="O89:O95" si="43">M89*N89*1.04</f>
        <v>0</v>
      </c>
      <c r="P89" s="228" t="s">
        <v>257</v>
      </c>
      <c r="Q89" s="228"/>
      <c r="R89" s="37"/>
      <c r="S89" s="416">
        <f t="shared" ref="S89:S95" si="44">Q89*R89*1.04</f>
        <v>0</v>
      </c>
      <c r="T89" s="228" t="s">
        <v>257</v>
      </c>
      <c r="U89" s="228"/>
      <c r="V89" s="37"/>
      <c r="W89" s="416">
        <f t="shared" si="35"/>
        <v>0</v>
      </c>
      <c r="X89" s="416">
        <f t="shared" ref="X89:X95" si="45">SUM(G89,K89,O89,S89,W89)</f>
        <v>0</v>
      </c>
      <c r="Y89" s="57"/>
    </row>
    <row r="90" spans="1:26" s="22" customFormat="1" ht="13">
      <c r="A90" s="56"/>
      <c r="B90" s="33"/>
      <c r="C90" s="289"/>
      <c r="D90" s="228" t="s">
        <v>257</v>
      </c>
      <c r="E90" s="228"/>
      <c r="F90" s="37"/>
      <c r="G90" s="71">
        <f t="shared" si="42"/>
        <v>0</v>
      </c>
      <c r="H90" s="228" t="s">
        <v>257</v>
      </c>
      <c r="I90" s="228"/>
      <c r="J90" s="37"/>
      <c r="K90" s="71">
        <f t="shared" si="34"/>
        <v>0</v>
      </c>
      <c r="L90" s="228" t="s">
        <v>257</v>
      </c>
      <c r="M90" s="228"/>
      <c r="N90" s="37"/>
      <c r="O90" s="71">
        <f t="shared" si="43"/>
        <v>0</v>
      </c>
      <c r="P90" s="228" t="s">
        <v>257</v>
      </c>
      <c r="Q90" s="228"/>
      <c r="R90" s="37"/>
      <c r="S90" s="416">
        <f t="shared" si="44"/>
        <v>0</v>
      </c>
      <c r="T90" s="228" t="s">
        <v>257</v>
      </c>
      <c r="U90" s="228"/>
      <c r="V90" s="37"/>
      <c r="W90" s="416">
        <f t="shared" si="35"/>
        <v>0</v>
      </c>
      <c r="X90" s="416">
        <f t="shared" si="45"/>
        <v>0</v>
      </c>
      <c r="Y90" s="57"/>
    </row>
    <row r="91" spans="1:26" s="22" customFormat="1" ht="13">
      <c r="A91" s="56"/>
      <c r="B91" s="33"/>
      <c r="C91" s="289"/>
      <c r="D91" s="289"/>
      <c r="E91" s="289"/>
      <c r="F91" s="37"/>
      <c r="G91" s="71">
        <f t="shared" si="42"/>
        <v>0</v>
      </c>
      <c r="H91" s="71"/>
      <c r="I91" s="71"/>
      <c r="J91" s="71"/>
      <c r="K91" s="71">
        <f t="shared" si="34"/>
        <v>0</v>
      </c>
      <c r="L91" s="71"/>
      <c r="M91" s="71"/>
      <c r="N91" s="71"/>
      <c r="O91" s="71">
        <f t="shared" si="43"/>
        <v>0</v>
      </c>
      <c r="P91" s="71"/>
      <c r="Q91" s="71"/>
      <c r="R91" s="71"/>
      <c r="S91" s="416">
        <f t="shared" si="44"/>
        <v>0</v>
      </c>
      <c r="T91" s="416"/>
      <c r="U91" s="416"/>
      <c r="V91" s="416"/>
      <c r="W91" s="416">
        <f t="shared" si="35"/>
        <v>0</v>
      </c>
      <c r="X91" s="416">
        <f t="shared" si="45"/>
        <v>0</v>
      </c>
      <c r="Y91" s="57"/>
    </row>
    <row r="92" spans="1:26">
      <c r="A92" s="32"/>
      <c r="B92" s="33"/>
      <c r="C92" s="289"/>
      <c r="D92" s="289"/>
      <c r="E92" s="289"/>
      <c r="F92" s="37"/>
      <c r="G92" s="71">
        <f t="shared" si="42"/>
        <v>0</v>
      </c>
      <c r="H92" s="71"/>
      <c r="I92" s="71"/>
      <c r="J92" s="71"/>
      <c r="K92" s="71">
        <f t="shared" si="34"/>
        <v>0</v>
      </c>
      <c r="L92" s="71"/>
      <c r="M92" s="71"/>
      <c r="N92" s="71"/>
      <c r="O92" s="71">
        <f t="shared" si="43"/>
        <v>0</v>
      </c>
      <c r="P92" s="71"/>
      <c r="Q92" s="71"/>
      <c r="R92" s="71"/>
      <c r="S92" s="416">
        <f t="shared" si="44"/>
        <v>0</v>
      </c>
      <c r="T92" s="416"/>
      <c r="U92" s="416"/>
      <c r="V92" s="416"/>
      <c r="W92" s="416">
        <f t="shared" si="35"/>
        <v>0</v>
      </c>
      <c r="X92" s="416">
        <f t="shared" si="45"/>
        <v>0</v>
      </c>
      <c r="Y92" s="35"/>
    </row>
    <row r="93" spans="1:26">
      <c r="A93" s="32"/>
      <c r="B93" s="33"/>
      <c r="C93" s="289"/>
      <c r="D93" s="289"/>
      <c r="E93" s="289"/>
      <c r="F93" s="37"/>
      <c r="G93" s="71">
        <f t="shared" si="42"/>
        <v>0</v>
      </c>
      <c r="H93" s="71"/>
      <c r="I93" s="71"/>
      <c r="J93" s="71"/>
      <c r="K93" s="71">
        <f t="shared" si="34"/>
        <v>0</v>
      </c>
      <c r="L93" s="71"/>
      <c r="M93" s="71"/>
      <c r="N93" s="71"/>
      <c r="O93" s="71">
        <f t="shared" si="43"/>
        <v>0</v>
      </c>
      <c r="P93" s="71"/>
      <c r="Q93" s="71"/>
      <c r="R93" s="71"/>
      <c r="S93" s="416">
        <f t="shared" si="44"/>
        <v>0</v>
      </c>
      <c r="T93" s="416"/>
      <c r="U93" s="416"/>
      <c r="V93" s="416"/>
      <c r="W93" s="416">
        <f t="shared" si="35"/>
        <v>0</v>
      </c>
      <c r="X93" s="416">
        <f t="shared" si="45"/>
        <v>0</v>
      </c>
      <c r="Y93" s="35"/>
    </row>
    <row r="94" spans="1:26">
      <c r="A94" s="32"/>
      <c r="B94" s="33"/>
      <c r="C94" s="289"/>
      <c r="D94" s="289"/>
      <c r="E94" s="289"/>
      <c r="F94" s="37"/>
      <c r="G94" s="71">
        <f t="shared" si="42"/>
        <v>0</v>
      </c>
      <c r="H94" s="71"/>
      <c r="I94" s="71"/>
      <c r="J94" s="71"/>
      <c r="K94" s="71">
        <f t="shared" si="34"/>
        <v>0</v>
      </c>
      <c r="L94" s="71"/>
      <c r="M94" s="71"/>
      <c r="N94" s="71"/>
      <c r="O94" s="71">
        <f t="shared" si="43"/>
        <v>0</v>
      </c>
      <c r="P94" s="71"/>
      <c r="Q94" s="71"/>
      <c r="R94" s="71"/>
      <c r="S94" s="416">
        <f t="shared" si="44"/>
        <v>0</v>
      </c>
      <c r="T94" s="416"/>
      <c r="U94" s="416"/>
      <c r="V94" s="416"/>
      <c r="W94" s="416">
        <f t="shared" si="35"/>
        <v>0</v>
      </c>
      <c r="X94" s="416">
        <f t="shared" si="45"/>
        <v>0</v>
      </c>
      <c r="Y94" s="35"/>
    </row>
    <row r="95" spans="1:26" s="22" customFormat="1" ht="13.5" thickBot="1">
      <c r="A95" s="56"/>
      <c r="B95" s="33"/>
      <c r="C95" s="289"/>
      <c r="D95" s="289"/>
      <c r="E95" s="289"/>
      <c r="F95" s="37"/>
      <c r="G95" s="71">
        <f t="shared" si="42"/>
        <v>0</v>
      </c>
      <c r="H95" s="71"/>
      <c r="I95" s="71"/>
      <c r="J95" s="71"/>
      <c r="K95" s="71">
        <f t="shared" si="34"/>
        <v>0</v>
      </c>
      <c r="L95" s="71"/>
      <c r="M95" s="71"/>
      <c r="N95" s="71"/>
      <c r="O95" s="71">
        <f t="shared" si="43"/>
        <v>0</v>
      </c>
      <c r="P95" s="71"/>
      <c r="Q95" s="71"/>
      <c r="R95" s="71"/>
      <c r="S95" s="416">
        <f t="shared" si="44"/>
        <v>0</v>
      </c>
      <c r="T95" s="416"/>
      <c r="U95" s="416"/>
      <c r="V95" s="416"/>
      <c r="W95" s="416">
        <f t="shared" si="35"/>
        <v>0</v>
      </c>
      <c r="X95" s="416">
        <f t="shared" si="45"/>
        <v>0</v>
      </c>
      <c r="Y95" s="57"/>
    </row>
    <row r="96" spans="1:26" s="22" customFormat="1" ht="13" hidden="1">
      <c r="A96" s="56"/>
      <c r="B96" s="58"/>
      <c r="C96" s="228"/>
      <c r="D96" s="228"/>
      <c r="E96" s="228"/>
      <c r="F96" s="55"/>
      <c r="G96" s="71">
        <v>0</v>
      </c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416">
        <f t="shared" ref="S96:S97" si="46">Q96*R96</f>
        <v>0</v>
      </c>
      <c r="T96" s="416"/>
      <c r="U96" s="416"/>
      <c r="V96" s="416"/>
      <c r="W96" s="416"/>
      <c r="X96" s="416">
        <f>G96+S96</f>
        <v>0</v>
      </c>
      <c r="Y96" s="57"/>
    </row>
    <row r="97" spans="1:26" s="22" customFormat="1" ht="13" hidden="1">
      <c r="A97" s="56"/>
      <c r="B97" s="58"/>
      <c r="C97" s="228"/>
      <c r="D97" s="228"/>
      <c r="E97" s="228"/>
      <c r="F97" s="55">
        <v>0</v>
      </c>
      <c r="G97" s="71">
        <v>0</v>
      </c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416">
        <f t="shared" si="46"/>
        <v>0</v>
      </c>
      <c r="T97" s="416"/>
      <c r="U97" s="416"/>
      <c r="V97" s="416"/>
      <c r="W97" s="416"/>
      <c r="X97" s="416">
        <f>G97+S97</f>
        <v>0</v>
      </c>
      <c r="Y97" s="57"/>
    </row>
    <row r="98" spans="1:26" ht="28" customHeight="1" thickBot="1">
      <c r="A98" s="473" t="s">
        <v>55</v>
      </c>
      <c r="B98" s="474"/>
      <c r="C98" s="475"/>
      <c r="D98" s="437"/>
      <c r="E98" s="437"/>
      <c r="F98" s="438"/>
      <c r="G98" s="438">
        <f>SUM(G15,G38)</f>
        <v>0</v>
      </c>
      <c r="H98" s="438"/>
      <c r="I98" s="438"/>
      <c r="J98" s="438"/>
      <c r="K98" s="438">
        <f>SUM(K15,K38)</f>
        <v>0</v>
      </c>
      <c r="L98" s="438"/>
      <c r="M98" s="438"/>
      <c r="N98" s="438"/>
      <c r="O98" s="438">
        <f>SUM(O15,O38)</f>
        <v>0</v>
      </c>
      <c r="P98" s="438"/>
      <c r="Q98" s="438"/>
      <c r="R98" s="438"/>
      <c r="S98" s="438">
        <f>SUM(S15,S38)</f>
        <v>0</v>
      </c>
      <c r="T98" s="438"/>
      <c r="U98" s="438"/>
      <c r="V98" s="438"/>
      <c r="W98" s="438"/>
      <c r="X98" s="438">
        <f>SUM(X15,X38)</f>
        <v>0</v>
      </c>
      <c r="Y98" s="439"/>
      <c r="Z98" s="442"/>
    </row>
  </sheetData>
  <mergeCells count="15">
    <mergeCell ref="AG7:AI7"/>
    <mergeCell ref="A12:A13"/>
    <mergeCell ref="B12:B13"/>
    <mergeCell ref="C12:C13"/>
    <mergeCell ref="P12:S12"/>
    <mergeCell ref="X12:X13"/>
    <mergeCell ref="Y12:Y13"/>
    <mergeCell ref="T12:W12"/>
    <mergeCell ref="A1:Y1"/>
    <mergeCell ref="D12:G12"/>
    <mergeCell ref="H12:K12"/>
    <mergeCell ref="L12:O12"/>
    <mergeCell ref="A98:C98"/>
    <mergeCell ref="C5:F5"/>
    <mergeCell ref="A7:B7"/>
  </mergeCells>
  <printOptions horizontalCentered="1"/>
  <pageMargins left="0.2" right="0.2" top="0.5" bottom="0.5" header="0.3" footer="0.3"/>
  <pageSetup paperSize="9" scale="90" orientation="landscape" errors="dash" r:id="rId1"/>
  <headerFooter>
    <oddFooter>Page &amp;P of &amp;N</oddFooter>
  </headerFooter>
  <rowBreaks count="2" manualBreakCount="2">
    <brk id="49" max="9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8DA41-8745-40D4-951F-1F4636B3E412}">
  <sheetPr>
    <tabColor theme="7" tint="0.79998168889431442"/>
  </sheetPr>
  <dimension ref="A1:AL98"/>
  <sheetViews>
    <sheetView showGridLines="0" topLeftCell="A3" zoomScale="78" zoomScaleNormal="94" zoomScaleSheetLayoutView="70" workbookViewId="0">
      <selection activeCell="A23" sqref="A23"/>
    </sheetView>
  </sheetViews>
  <sheetFormatPr defaultColWidth="9.08984375" defaultRowHeight="12.5"/>
  <cols>
    <col min="1" max="1" width="6.36328125" style="15" customWidth="1"/>
    <col min="2" max="2" width="14.36328125" style="15" customWidth="1"/>
    <col min="3" max="3" width="53.453125" style="17" customWidth="1"/>
    <col min="4" max="4" width="8.7265625" style="17" customWidth="1"/>
    <col min="5" max="5" width="10.26953125" style="17" customWidth="1"/>
    <col min="6" max="6" width="12.6328125" style="15" customWidth="1"/>
    <col min="7" max="7" width="12.6328125" style="65" customWidth="1"/>
    <col min="8" max="8" width="10.54296875" style="65" customWidth="1"/>
    <col min="9" max="15" width="12.6328125" style="65" customWidth="1"/>
    <col min="16" max="16" width="8.08984375" style="65" customWidth="1"/>
    <col min="17" max="17" width="7.90625" style="65" customWidth="1"/>
    <col min="18" max="18" width="10.26953125" style="65" customWidth="1"/>
    <col min="19" max="23" width="11.08984375" style="17" customWidth="1"/>
    <col min="24" max="24" width="18.1796875" style="17" customWidth="1"/>
    <col min="25" max="25" width="13.1796875" style="17" customWidth="1"/>
    <col min="26" max="26" width="24.90625" style="17" customWidth="1"/>
    <col min="27" max="16384" width="9.08984375" style="17"/>
  </cols>
  <sheetData>
    <row r="1" spans="1:38" ht="31.5" customHeight="1">
      <c r="A1" s="471" t="s">
        <v>260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</row>
    <row r="2" spans="1:38" ht="13">
      <c r="B2" s="16"/>
      <c r="C2" s="16"/>
      <c r="D2" s="16"/>
      <c r="E2" s="16"/>
    </row>
    <row r="3" spans="1:38" ht="13">
      <c r="A3" s="19" t="s">
        <v>24</v>
      </c>
      <c r="B3" s="19"/>
      <c r="C3" s="399" t="s">
        <v>312</v>
      </c>
      <c r="D3" s="421"/>
      <c r="E3" s="421"/>
      <c r="F3" s="400"/>
    </row>
    <row r="4" spans="1:38" ht="13">
      <c r="A4" s="22" t="s">
        <v>115</v>
      </c>
      <c r="B4" s="22"/>
      <c r="C4" s="453"/>
      <c r="D4" s="454"/>
      <c r="E4" s="454"/>
      <c r="F4" s="455"/>
    </row>
    <row r="5" spans="1:38" ht="19.5" customHeight="1">
      <c r="A5" s="22" t="s">
        <v>43</v>
      </c>
      <c r="B5" s="22"/>
      <c r="C5" s="476" t="s">
        <v>298</v>
      </c>
      <c r="D5" s="477"/>
      <c r="E5" s="477"/>
      <c r="F5" s="478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38" ht="19.5" customHeight="1">
      <c r="A6" s="22" t="s">
        <v>42</v>
      </c>
      <c r="B6" s="22"/>
      <c r="C6" s="402" t="s">
        <v>128</v>
      </c>
      <c r="D6" s="454"/>
      <c r="E6" s="454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1:38" ht="24.5" customHeight="1">
      <c r="A7" s="479" t="s">
        <v>249</v>
      </c>
      <c r="B7" s="479"/>
      <c r="C7" s="402" t="s">
        <v>305</v>
      </c>
      <c r="D7" s="454"/>
      <c r="E7" s="454"/>
      <c r="F7" s="403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5"/>
      <c r="T7" s="405"/>
      <c r="U7" s="405"/>
      <c r="V7" s="405"/>
      <c r="W7" s="405"/>
      <c r="X7" s="31"/>
      <c r="Y7" s="31"/>
      <c r="Z7" s="15"/>
      <c r="AA7" s="65"/>
      <c r="AB7" s="22"/>
      <c r="AC7" s="450"/>
      <c r="AD7" s="406"/>
      <c r="AE7" s="406"/>
      <c r="AF7" s="450"/>
      <c r="AG7" s="480"/>
      <c r="AH7" s="481"/>
      <c r="AI7" s="481"/>
      <c r="AJ7" s="450"/>
      <c r="AK7" s="450"/>
      <c r="AL7" s="22"/>
    </row>
    <row r="8" spans="1:38" ht="19" customHeight="1">
      <c r="A8" s="22" t="s">
        <v>49</v>
      </c>
      <c r="B8" s="22"/>
      <c r="C8" s="402" t="s">
        <v>306</v>
      </c>
      <c r="D8" s="454"/>
      <c r="E8" s="454"/>
    </row>
    <row r="9" spans="1:38" ht="13">
      <c r="A9" s="450"/>
      <c r="B9" s="22"/>
    </row>
    <row r="10" spans="1:38" ht="13">
      <c r="A10" s="22"/>
      <c r="B10" s="22"/>
    </row>
    <row r="11" spans="1:38" ht="3.65" customHeight="1" thickBot="1">
      <c r="A11" s="22"/>
      <c r="B11" s="22"/>
    </row>
    <row r="12" spans="1:38" s="15" customFormat="1" ht="36" customHeight="1">
      <c r="A12" s="482" t="s">
        <v>21</v>
      </c>
      <c r="B12" s="484" t="s">
        <v>261</v>
      </c>
      <c r="C12" s="472" t="s">
        <v>37</v>
      </c>
      <c r="D12" s="472" t="s">
        <v>285</v>
      </c>
      <c r="E12" s="472"/>
      <c r="F12" s="472"/>
      <c r="G12" s="472"/>
      <c r="H12" s="472" t="s">
        <v>286</v>
      </c>
      <c r="I12" s="472"/>
      <c r="J12" s="472"/>
      <c r="K12" s="472"/>
      <c r="L12" s="472" t="s">
        <v>287</v>
      </c>
      <c r="M12" s="472"/>
      <c r="N12" s="472"/>
      <c r="O12" s="472"/>
      <c r="P12" s="472" t="s">
        <v>288</v>
      </c>
      <c r="Q12" s="472"/>
      <c r="R12" s="472"/>
      <c r="S12" s="472"/>
      <c r="T12" s="472" t="s">
        <v>302</v>
      </c>
      <c r="U12" s="472"/>
      <c r="V12" s="472"/>
      <c r="W12" s="472"/>
      <c r="X12" s="472" t="s">
        <v>262</v>
      </c>
      <c r="Y12" s="487" t="s">
        <v>16</v>
      </c>
    </row>
    <row r="13" spans="1:38" s="15" customFormat="1" ht="39.5" customHeight="1" thickBot="1">
      <c r="A13" s="483"/>
      <c r="B13" s="485"/>
      <c r="C13" s="486"/>
      <c r="D13" s="451" t="s">
        <v>250</v>
      </c>
      <c r="E13" s="451" t="s">
        <v>34</v>
      </c>
      <c r="F13" s="451" t="s">
        <v>36</v>
      </c>
      <c r="G13" s="451" t="s">
        <v>35</v>
      </c>
      <c r="H13" s="451" t="s">
        <v>250</v>
      </c>
      <c r="I13" s="451" t="s">
        <v>34</v>
      </c>
      <c r="J13" s="451" t="s">
        <v>36</v>
      </c>
      <c r="K13" s="451" t="s">
        <v>35</v>
      </c>
      <c r="L13" s="451" t="s">
        <v>250</v>
      </c>
      <c r="M13" s="451" t="s">
        <v>34</v>
      </c>
      <c r="N13" s="451" t="s">
        <v>36</v>
      </c>
      <c r="O13" s="451" t="s">
        <v>35</v>
      </c>
      <c r="P13" s="451" t="s">
        <v>250</v>
      </c>
      <c r="Q13" s="451" t="s">
        <v>34</v>
      </c>
      <c r="R13" s="451" t="s">
        <v>36</v>
      </c>
      <c r="S13" s="451" t="s">
        <v>35</v>
      </c>
      <c r="T13" s="451" t="s">
        <v>250</v>
      </c>
      <c r="U13" s="451" t="s">
        <v>34</v>
      </c>
      <c r="V13" s="451" t="s">
        <v>36</v>
      </c>
      <c r="W13" s="451" t="s">
        <v>35</v>
      </c>
      <c r="X13" s="486"/>
      <c r="Y13" s="488"/>
    </row>
    <row r="14" spans="1:38" ht="13">
      <c r="A14" s="408"/>
      <c r="B14" s="409"/>
      <c r="C14" s="410"/>
      <c r="D14" s="410" t="s">
        <v>251</v>
      </c>
      <c r="E14" s="410" t="s">
        <v>252</v>
      </c>
      <c r="F14" s="411" t="s">
        <v>253</v>
      </c>
      <c r="G14" s="412" t="s">
        <v>263</v>
      </c>
      <c r="H14" s="412" t="s">
        <v>254</v>
      </c>
      <c r="I14" s="412" t="s">
        <v>264</v>
      </c>
      <c r="J14" s="412" t="s">
        <v>265</v>
      </c>
      <c r="K14" s="412" t="s">
        <v>266</v>
      </c>
      <c r="L14" s="412" t="s">
        <v>255</v>
      </c>
      <c r="M14" s="412" t="s">
        <v>267</v>
      </c>
      <c r="N14" s="412" t="s">
        <v>268</v>
      </c>
      <c r="O14" s="412" t="s">
        <v>269</v>
      </c>
      <c r="P14" s="412" t="s">
        <v>270</v>
      </c>
      <c r="Q14" s="412" t="s">
        <v>271</v>
      </c>
      <c r="R14" s="412" t="s">
        <v>272</v>
      </c>
      <c r="S14" s="412" t="s">
        <v>273</v>
      </c>
      <c r="T14" s="412" t="s">
        <v>289</v>
      </c>
      <c r="U14" s="412" t="s">
        <v>274</v>
      </c>
      <c r="V14" s="412" t="s">
        <v>290</v>
      </c>
      <c r="W14" s="412" t="s">
        <v>291</v>
      </c>
      <c r="X14" s="412" t="s">
        <v>292</v>
      </c>
      <c r="Y14" s="413" t="s">
        <v>274</v>
      </c>
    </row>
    <row r="15" spans="1:38" ht="22.5" customHeight="1">
      <c r="A15" s="430" t="s">
        <v>127</v>
      </c>
      <c r="B15" s="424"/>
      <c r="C15" s="425" t="s">
        <v>317</v>
      </c>
      <c r="D15" s="428"/>
      <c r="E15" s="428"/>
      <c r="F15" s="426"/>
      <c r="G15" s="429">
        <f>SUM(G16,G29)</f>
        <v>0</v>
      </c>
      <c r="H15" s="429"/>
      <c r="I15" s="429"/>
      <c r="J15" s="429"/>
      <c r="K15" s="429">
        <f>SUM(K16,K29)</f>
        <v>0</v>
      </c>
      <c r="L15" s="429"/>
      <c r="M15" s="429"/>
      <c r="N15" s="429"/>
      <c r="O15" s="429">
        <f>SUM(O16,O29)</f>
        <v>0</v>
      </c>
      <c r="P15" s="429"/>
      <c r="Q15" s="429"/>
      <c r="R15" s="429"/>
      <c r="S15" s="429">
        <f>SUM(S16,S29)</f>
        <v>0</v>
      </c>
      <c r="T15" s="429"/>
      <c r="U15" s="429"/>
      <c r="V15" s="429"/>
      <c r="W15" s="429">
        <f>SUM(W16,W29)</f>
        <v>0</v>
      </c>
      <c r="X15" s="429">
        <f>SUM(X16,X29)</f>
        <v>0</v>
      </c>
      <c r="Y15" s="427"/>
    </row>
    <row r="16" spans="1:38" s="22" customFormat="1" ht="21.65" customHeight="1">
      <c r="A16" s="43"/>
      <c r="B16" s="44"/>
      <c r="C16" s="45" t="s">
        <v>29</v>
      </c>
      <c r="D16" s="45"/>
      <c r="E16" s="45"/>
      <c r="F16" s="48"/>
      <c r="G16" s="414">
        <f>SUM(G17:G28)</f>
        <v>0</v>
      </c>
      <c r="H16" s="414"/>
      <c r="I16" s="414"/>
      <c r="J16" s="414"/>
      <c r="K16" s="414">
        <f>SUM(K17:K28)</f>
        <v>0</v>
      </c>
      <c r="L16" s="414"/>
      <c r="M16" s="414"/>
      <c r="N16" s="414"/>
      <c r="O16" s="414">
        <f>SUM(O17:O28)</f>
        <v>0</v>
      </c>
      <c r="P16" s="414"/>
      <c r="Q16" s="414"/>
      <c r="R16" s="414"/>
      <c r="S16" s="414">
        <f>SUM(S17:S28)</f>
        <v>0</v>
      </c>
      <c r="T16" s="414"/>
      <c r="U16" s="414"/>
      <c r="V16" s="414"/>
      <c r="W16" s="414">
        <f>SUM(W17:W28)</f>
        <v>0</v>
      </c>
      <c r="X16" s="414">
        <f>SUM(X17:X28)</f>
        <v>0</v>
      </c>
      <c r="Y16" s="415"/>
      <c r="Z16" s="50"/>
    </row>
    <row r="17" spans="1:26">
      <c r="A17" s="32"/>
      <c r="B17" s="33"/>
      <c r="C17" s="114"/>
      <c r="D17" s="114" t="s">
        <v>256</v>
      </c>
      <c r="E17" s="114">
        <v>3</v>
      </c>
      <c r="F17" s="37">
        <v>0</v>
      </c>
      <c r="G17" s="68">
        <f>E17*F17</f>
        <v>0</v>
      </c>
      <c r="H17" s="114" t="s">
        <v>256</v>
      </c>
      <c r="I17" s="114">
        <v>12</v>
      </c>
      <c r="J17" s="37">
        <v>0</v>
      </c>
      <c r="K17" s="68">
        <f>I17*J17</f>
        <v>0</v>
      </c>
      <c r="L17" s="114" t="s">
        <v>256</v>
      </c>
      <c r="M17" s="114">
        <v>12</v>
      </c>
      <c r="N17" s="37">
        <v>0</v>
      </c>
      <c r="O17" s="68">
        <f>M17*N17*1.04</f>
        <v>0</v>
      </c>
      <c r="P17" s="68" t="s">
        <v>256</v>
      </c>
      <c r="Q17" s="71">
        <v>6</v>
      </c>
      <c r="R17" s="71">
        <v>0</v>
      </c>
      <c r="S17" s="416">
        <f>Q17*R17*1.04</f>
        <v>0</v>
      </c>
      <c r="T17" s="68" t="s">
        <v>256</v>
      </c>
      <c r="U17" s="416">
        <v>3</v>
      </c>
      <c r="V17" s="416">
        <v>0</v>
      </c>
      <c r="W17" s="416">
        <f>U17*V17</f>
        <v>0</v>
      </c>
      <c r="X17" s="416">
        <f>SUM(G17,K17,O17,S17,W17)</f>
        <v>0</v>
      </c>
      <c r="Y17" s="35"/>
    </row>
    <row r="18" spans="1:26">
      <c r="A18" s="32"/>
      <c r="B18" s="33"/>
      <c r="C18" s="36"/>
      <c r="D18" s="114" t="s">
        <v>256</v>
      </c>
      <c r="E18" s="36">
        <v>3</v>
      </c>
      <c r="F18" s="37">
        <v>0</v>
      </c>
      <c r="G18" s="68">
        <f t="shared" ref="G18:G36" si="0">E18*F18</f>
        <v>0</v>
      </c>
      <c r="H18" s="114" t="s">
        <v>256</v>
      </c>
      <c r="I18" s="36">
        <v>12</v>
      </c>
      <c r="J18" s="37">
        <v>0</v>
      </c>
      <c r="K18" s="68">
        <f t="shared" ref="K18:K28" si="1">I18*J18</f>
        <v>0</v>
      </c>
      <c r="L18" s="114" t="s">
        <v>256</v>
      </c>
      <c r="M18" s="36">
        <v>12</v>
      </c>
      <c r="N18" s="37">
        <v>0</v>
      </c>
      <c r="O18" s="68">
        <f t="shared" ref="O18:O28" si="2">M18*N18*1.04</f>
        <v>0</v>
      </c>
      <c r="P18" s="68" t="s">
        <v>256</v>
      </c>
      <c r="Q18" s="71">
        <v>6</v>
      </c>
      <c r="R18" s="71">
        <v>0</v>
      </c>
      <c r="S18" s="416">
        <f t="shared" ref="S18:S28" si="3">Q18*R18*1.04</f>
        <v>0</v>
      </c>
      <c r="T18" s="68" t="s">
        <v>256</v>
      </c>
      <c r="U18" s="416">
        <v>3</v>
      </c>
      <c r="V18" s="416">
        <v>0</v>
      </c>
      <c r="W18" s="416">
        <f>U18*V18</f>
        <v>0</v>
      </c>
      <c r="X18" s="416">
        <f t="shared" ref="X18:X28" si="4">SUM(G18,K18,O18,S18,W18)</f>
        <v>0</v>
      </c>
      <c r="Y18" s="35"/>
    </row>
    <row r="19" spans="1:26">
      <c r="A19" s="32"/>
      <c r="B19" s="33"/>
      <c r="C19" s="36"/>
      <c r="D19" s="114" t="s">
        <v>256</v>
      </c>
      <c r="E19" s="36">
        <v>3</v>
      </c>
      <c r="F19" s="37">
        <v>0</v>
      </c>
      <c r="G19" s="68">
        <f t="shared" si="0"/>
        <v>0</v>
      </c>
      <c r="H19" s="114" t="s">
        <v>256</v>
      </c>
      <c r="I19" s="36">
        <v>12</v>
      </c>
      <c r="J19" s="37">
        <v>0</v>
      </c>
      <c r="K19" s="68">
        <f t="shared" si="1"/>
        <v>0</v>
      </c>
      <c r="L19" s="114" t="s">
        <v>256</v>
      </c>
      <c r="M19" s="36">
        <v>12</v>
      </c>
      <c r="N19" s="37">
        <v>0</v>
      </c>
      <c r="O19" s="68">
        <f t="shared" si="2"/>
        <v>0</v>
      </c>
      <c r="P19" s="68" t="s">
        <v>256</v>
      </c>
      <c r="Q19" s="71">
        <v>6</v>
      </c>
      <c r="R19" s="71">
        <v>0</v>
      </c>
      <c r="S19" s="416">
        <f t="shared" si="3"/>
        <v>0</v>
      </c>
      <c r="T19" s="68" t="s">
        <v>256</v>
      </c>
      <c r="U19" s="416">
        <v>3</v>
      </c>
      <c r="V19" s="416">
        <v>0</v>
      </c>
      <c r="W19" s="416">
        <f>U19*V19</f>
        <v>0</v>
      </c>
      <c r="X19" s="416">
        <f t="shared" si="4"/>
        <v>0</v>
      </c>
      <c r="Y19" s="35"/>
    </row>
    <row r="20" spans="1:26">
      <c r="A20" s="32"/>
      <c r="B20" s="33"/>
      <c r="C20" s="36"/>
      <c r="D20" s="114" t="s">
        <v>256</v>
      </c>
      <c r="E20" s="36">
        <v>3</v>
      </c>
      <c r="F20" s="37">
        <v>0</v>
      </c>
      <c r="G20" s="68">
        <f t="shared" si="0"/>
        <v>0</v>
      </c>
      <c r="H20" s="114" t="s">
        <v>256</v>
      </c>
      <c r="I20" s="36">
        <v>12</v>
      </c>
      <c r="J20" s="37">
        <v>0</v>
      </c>
      <c r="K20" s="68">
        <f t="shared" si="1"/>
        <v>0</v>
      </c>
      <c r="L20" s="114" t="s">
        <v>256</v>
      </c>
      <c r="M20" s="36">
        <v>12</v>
      </c>
      <c r="N20" s="37">
        <v>0</v>
      </c>
      <c r="O20" s="68">
        <f t="shared" si="2"/>
        <v>0</v>
      </c>
      <c r="P20" s="68" t="s">
        <v>256</v>
      </c>
      <c r="Q20" s="71">
        <v>6</v>
      </c>
      <c r="R20" s="71">
        <v>0</v>
      </c>
      <c r="S20" s="416">
        <f t="shared" si="3"/>
        <v>0</v>
      </c>
      <c r="T20" s="68" t="s">
        <v>256</v>
      </c>
      <c r="U20" s="416">
        <v>3</v>
      </c>
      <c r="V20" s="416">
        <v>0</v>
      </c>
      <c r="W20" s="416">
        <f>U20*V20</f>
        <v>0</v>
      </c>
      <c r="X20" s="416">
        <f t="shared" si="4"/>
        <v>0</v>
      </c>
      <c r="Y20" s="35"/>
    </row>
    <row r="21" spans="1:26">
      <c r="A21" s="32"/>
      <c r="B21" s="33"/>
      <c r="C21" s="36"/>
      <c r="D21" s="114" t="s">
        <v>256</v>
      </c>
      <c r="E21" s="36">
        <v>3</v>
      </c>
      <c r="F21" s="37">
        <v>0</v>
      </c>
      <c r="G21" s="68">
        <f t="shared" si="0"/>
        <v>0</v>
      </c>
      <c r="H21" s="114" t="s">
        <v>256</v>
      </c>
      <c r="I21" s="36">
        <v>12</v>
      </c>
      <c r="J21" s="37">
        <v>0</v>
      </c>
      <c r="K21" s="68">
        <f t="shared" si="1"/>
        <v>0</v>
      </c>
      <c r="L21" s="114" t="s">
        <v>256</v>
      </c>
      <c r="M21" s="36">
        <v>12</v>
      </c>
      <c r="N21" s="37">
        <v>0</v>
      </c>
      <c r="O21" s="68">
        <f t="shared" si="2"/>
        <v>0</v>
      </c>
      <c r="P21" s="68" t="s">
        <v>256</v>
      </c>
      <c r="Q21" s="71">
        <v>6</v>
      </c>
      <c r="R21" s="71">
        <v>0</v>
      </c>
      <c r="S21" s="416">
        <f t="shared" si="3"/>
        <v>0</v>
      </c>
      <c r="T21" s="68" t="s">
        <v>256</v>
      </c>
      <c r="U21" s="416">
        <v>3</v>
      </c>
      <c r="V21" s="416">
        <v>0</v>
      </c>
      <c r="W21" s="416">
        <f>U21*V21</f>
        <v>0</v>
      </c>
      <c r="X21" s="416">
        <f t="shared" si="4"/>
        <v>0</v>
      </c>
      <c r="Y21" s="35"/>
    </row>
    <row r="22" spans="1:26">
      <c r="A22" s="32"/>
      <c r="B22" s="33"/>
      <c r="C22" s="36"/>
      <c r="D22" s="114" t="s">
        <v>256</v>
      </c>
      <c r="E22" s="36">
        <v>3</v>
      </c>
      <c r="F22" s="37">
        <v>0</v>
      </c>
      <c r="G22" s="68">
        <f t="shared" si="0"/>
        <v>0</v>
      </c>
      <c r="H22" s="114" t="s">
        <v>256</v>
      </c>
      <c r="I22" s="36">
        <v>12</v>
      </c>
      <c r="J22" s="37">
        <v>0</v>
      </c>
      <c r="K22" s="68">
        <f t="shared" si="1"/>
        <v>0</v>
      </c>
      <c r="L22" s="114" t="s">
        <v>256</v>
      </c>
      <c r="M22" s="36">
        <v>12</v>
      </c>
      <c r="N22" s="37">
        <v>0</v>
      </c>
      <c r="O22" s="68">
        <f t="shared" si="2"/>
        <v>0</v>
      </c>
      <c r="P22" s="68" t="s">
        <v>256</v>
      </c>
      <c r="Q22" s="71">
        <v>6</v>
      </c>
      <c r="R22" s="71">
        <v>0</v>
      </c>
      <c r="S22" s="416">
        <f t="shared" si="3"/>
        <v>0</v>
      </c>
      <c r="T22" s="68" t="s">
        <v>256</v>
      </c>
      <c r="U22" s="416">
        <v>3</v>
      </c>
      <c r="V22" s="416">
        <v>0</v>
      </c>
      <c r="W22" s="416">
        <f t="shared" ref="W22:W36" si="5">U22*V22</f>
        <v>0</v>
      </c>
      <c r="X22" s="416">
        <f t="shared" si="4"/>
        <v>0</v>
      </c>
      <c r="Y22" s="35"/>
    </row>
    <row r="23" spans="1:26">
      <c r="A23" s="32"/>
      <c r="B23" s="33"/>
      <c r="C23" s="36"/>
      <c r="D23" s="114" t="s">
        <v>256</v>
      </c>
      <c r="E23" s="36">
        <v>3</v>
      </c>
      <c r="F23" s="37">
        <v>0</v>
      </c>
      <c r="G23" s="68">
        <f t="shared" si="0"/>
        <v>0</v>
      </c>
      <c r="H23" s="114" t="s">
        <v>256</v>
      </c>
      <c r="I23" s="36">
        <v>12</v>
      </c>
      <c r="J23" s="37">
        <v>0</v>
      </c>
      <c r="K23" s="68">
        <f t="shared" si="1"/>
        <v>0</v>
      </c>
      <c r="L23" s="114" t="s">
        <v>256</v>
      </c>
      <c r="M23" s="36">
        <v>12</v>
      </c>
      <c r="N23" s="37">
        <v>0</v>
      </c>
      <c r="O23" s="68">
        <f t="shared" si="2"/>
        <v>0</v>
      </c>
      <c r="P23" s="68" t="s">
        <v>256</v>
      </c>
      <c r="Q23" s="71">
        <v>6</v>
      </c>
      <c r="R23" s="71">
        <v>0</v>
      </c>
      <c r="S23" s="416">
        <f t="shared" si="3"/>
        <v>0</v>
      </c>
      <c r="T23" s="68" t="s">
        <v>256</v>
      </c>
      <c r="U23" s="416">
        <v>3</v>
      </c>
      <c r="V23" s="416">
        <v>0</v>
      </c>
      <c r="W23" s="416">
        <f t="shared" si="5"/>
        <v>0</v>
      </c>
      <c r="X23" s="416">
        <f t="shared" si="4"/>
        <v>0</v>
      </c>
      <c r="Y23" s="35"/>
    </row>
    <row r="24" spans="1:26">
      <c r="A24" s="32"/>
      <c r="B24" s="33"/>
      <c r="C24" s="36"/>
      <c r="D24" s="114" t="s">
        <v>256</v>
      </c>
      <c r="E24" s="36">
        <v>3</v>
      </c>
      <c r="F24" s="37">
        <v>0</v>
      </c>
      <c r="G24" s="68">
        <f t="shared" si="0"/>
        <v>0</v>
      </c>
      <c r="H24" s="114" t="s">
        <v>256</v>
      </c>
      <c r="I24" s="36">
        <v>12</v>
      </c>
      <c r="J24" s="37">
        <v>0</v>
      </c>
      <c r="K24" s="68">
        <f t="shared" si="1"/>
        <v>0</v>
      </c>
      <c r="L24" s="114" t="s">
        <v>256</v>
      </c>
      <c r="M24" s="36">
        <v>12</v>
      </c>
      <c r="N24" s="37">
        <v>0</v>
      </c>
      <c r="O24" s="68">
        <f t="shared" si="2"/>
        <v>0</v>
      </c>
      <c r="P24" s="68" t="s">
        <v>256</v>
      </c>
      <c r="Q24" s="71">
        <v>6</v>
      </c>
      <c r="R24" s="71">
        <v>0</v>
      </c>
      <c r="S24" s="416">
        <f t="shared" si="3"/>
        <v>0</v>
      </c>
      <c r="T24" s="68" t="s">
        <v>256</v>
      </c>
      <c r="U24" s="416">
        <v>3</v>
      </c>
      <c r="V24" s="416">
        <v>0</v>
      </c>
      <c r="W24" s="416">
        <f t="shared" si="5"/>
        <v>0</v>
      </c>
      <c r="X24" s="416">
        <f t="shared" si="4"/>
        <v>0</v>
      </c>
      <c r="Y24" s="35"/>
    </row>
    <row r="25" spans="1:26" ht="14.5">
      <c r="A25" s="32"/>
      <c r="B25" s="33"/>
      <c r="C25" s="423"/>
      <c r="D25" s="114" t="s">
        <v>256</v>
      </c>
      <c r="E25" s="36">
        <v>3</v>
      </c>
      <c r="F25" s="37">
        <v>0</v>
      </c>
      <c r="G25" s="68">
        <f t="shared" si="0"/>
        <v>0</v>
      </c>
      <c r="H25" s="114" t="s">
        <v>256</v>
      </c>
      <c r="I25" s="36">
        <v>12</v>
      </c>
      <c r="J25" s="37">
        <v>0</v>
      </c>
      <c r="K25" s="68">
        <f t="shared" si="1"/>
        <v>0</v>
      </c>
      <c r="L25" s="114" t="s">
        <v>256</v>
      </c>
      <c r="M25" s="36">
        <v>12</v>
      </c>
      <c r="N25" s="37">
        <v>0</v>
      </c>
      <c r="O25" s="68">
        <f t="shared" si="2"/>
        <v>0</v>
      </c>
      <c r="P25" s="68" t="s">
        <v>256</v>
      </c>
      <c r="Q25" s="71">
        <v>6</v>
      </c>
      <c r="R25" s="71">
        <v>0</v>
      </c>
      <c r="S25" s="416">
        <f t="shared" si="3"/>
        <v>0</v>
      </c>
      <c r="T25" s="68" t="s">
        <v>256</v>
      </c>
      <c r="U25" s="416">
        <v>3</v>
      </c>
      <c r="V25" s="416">
        <v>0</v>
      </c>
      <c r="W25" s="416">
        <f t="shared" si="5"/>
        <v>0</v>
      </c>
      <c r="X25" s="416">
        <f t="shared" si="4"/>
        <v>0</v>
      </c>
      <c r="Y25" s="35"/>
    </row>
    <row r="26" spans="1:26">
      <c r="A26" s="32"/>
      <c r="B26" s="33"/>
      <c r="C26" s="36"/>
      <c r="D26" s="114" t="s">
        <v>256</v>
      </c>
      <c r="E26" s="36">
        <v>3</v>
      </c>
      <c r="F26" s="37">
        <v>0</v>
      </c>
      <c r="G26" s="68">
        <f t="shared" si="0"/>
        <v>0</v>
      </c>
      <c r="H26" s="114" t="s">
        <v>256</v>
      </c>
      <c r="I26" s="36">
        <v>12</v>
      </c>
      <c r="J26" s="37">
        <v>0</v>
      </c>
      <c r="K26" s="68">
        <f t="shared" si="1"/>
        <v>0</v>
      </c>
      <c r="L26" s="114" t="s">
        <v>256</v>
      </c>
      <c r="M26" s="36">
        <v>12</v>
      </c>
      <c r="N26" s="37">
        <v>0</v>
      </c>
      <c r="O26" s="68">
        <f t="shared" si="2"/>
        <v>0</v>
      </c>
      <c r="P26" s="68" t="s">
        <v>256</v>
      </c>
      <c r="Q26" s="71">
        <v>6</v>
      </c>
      <c r="R26" s="71">
        <v>0</v>
      </c>
      <c r="S26" s="416">
        <f t="shared" si="3"/>
        <v>0</v>
      </c>
      <c r="T26" s="68" t="s">
        <v>256</v>
      </c>
      <c r="U26" s="416">
        <v>3</v>
      </c>
      <c r="V26" s="416">
        <v>0</v>
      </c>
      <c r="W26" s="416">
        <f t="shared" si="5"/>
        <v>0</v>
      </c>
      <c r="X26" s="416">
        <f t="shared" si="4"/>
        <v>0</v>
      </c>
      <c r="Y26" s="35"/>
    </row>
    <row r="27" spans="1:26">
      <c r="A27" s="32"/>
      <c r="B27" s="33"/>
      <c r="C27" s="36"/>
      <c r="D27" s="114" t="s">
        <v>256</v>
      </c>
      <c r="E27" s="36">
        <v>3</v>
      </c>
      <c r="F27" s="37">
        <v>0</v>
      </c>
      <c r="G27" s="68">
        <f t="shared" si="0"/>
        <v>0</v>
      </c>
      <c r="H27" s="114" t="s">
        <v>256</v>
      </c>
      <c r="I27" s="36">
        <v>12</v>
      </c>
      <c r="J27" s="37">
        <v>0</v>
      </c>
      <c r="K27" s="68">
        <f t="shared" si="1"/>
        <v>0</v>
      </c>
      <c r="L27" s="114" t="s">
        <v>256</v>
      </c>
      <c r="M27" s="36">
        <v>12</v>
      </c>
      <c r="N27" s="37">
        <v>0</v>
      </c>
      <c r="O27" s="68">
        <f t="shared" si="2"/>
        <v>0</v>
      </c>
      <c r="P27" s="68" t="s">
        <v>256</v>
      </c>
      <c r="Q27" s="71">
        <v>6</v>
      </c>
      <c r="R27" s="71">
        <v>0</v>
      </c>
      <c r="S27" s="416">
        <f t="shared" si="3"/>
        <v>0</v>
      </c>
      <c r="T27" s="68" t="s">
        <v>256</v>
      </c>
      <c r="U27" s="416">
        <v>3</v>
      </c>
      <c r="V27" s="416">
        <v>0</v>
      </c>
      <c r="W27" s="416">
        <f t="shared" si="5"/>
        <v>0</v>
      </c>
      <c r="X27" s="416">
        <f t="shared" si="4"/>
        <v>0</v>
      </c>
      <c r="Y27" s="35"/>
    </row>
    <row r="28" spans="1:26" ht="17" customHeight="1">
      <c r="A28" s="32"/>
      <c r="B28" s="33"/>
      <c r="C28" s="36"/>
      <c r="D28" s="114" t="s">
        <v>256</v>
      </c>
      <c r="E28" s="36">
        <v>3</v>
      </c>
      <c r="F28" s="37">
        <v>0</v>
      </c>
      <c r="G28" s="68">
        <f t="shared" si="0"/>
        <v>0</v>
      </c>
      <c r="H28" s="114" t="s">
        <v>256</v>
      </c>
      <c r="I28" s="36">
        <v>12</v>
      </c>
      <c r="J28" s="37">
        <v>0</v>
      </c>
      <c r="K28" s="68">
        <f t="shared" si="1"/>
        <v>0</v>
      </c>
      <c r="L28" s="114" t="s">
        <v>256</v>
      </c>
      <c r="M28" s="36">
        <v>12</v>
      </c>
      <c r="N28" s="37">
        <v>0</v>
      </c>
      <c r="O28" s="68">
        <f t="shared" si="2"/>
        <v>0</v>
      </c>
      <c r="P28" s="68" t="s">
        <v>256</v>
      </c>
      <c r="Q28" s="71">
        <v>6</v>
      </c>
      <c r="R28" s="71">
        <v>0</v>
      </c>
      <c r="S28" s="416">
        <f t="shared" si="3"/>
        <v>0</v>
      </c>
      <c r="T28" s="68" t="s">
        <v>256</v>
      </c>
      <c r="U28" s="416">
        <v>3</v>
      </c>
      <c r="V28" s="416">
        <v>0</v>
      </c>
      <c r="W28" s="416">
        <f t="shared" si="5"/>
        <v>0</v>
      </c>
      <c r="X28" s="416">
        <f t="shared" si="4"/>
        <v>0</v>
      </c>
      <c r="Y28" s="35"/>
    </row>
    <row r="29" spans="1:26" s="22" customFormat="1" ht="21.65" customHeight="1">
      <c r="A29" s="43"/>
      <c r="B29" s="44"/>
      <c r="C29" s="45" t="s">
        <v>301</v>
      </c>
      <c r="D29" s="45"/>
      <c r="E29" s="45"/>
      <c r="F29" s="48"/>
      <c r="G29" s="414">
        <f>SUM(G30:G36)</f>
        <v>0</v>
      </c>
      <c r="H29" s="414"/>
      <c r="I29" s="414"/>
      <c r="J29" s="414"/>
      <c r="K29" s="414">
        <f>SUM(K30:K36)</f>
        <v>0</v>
      </c>
      <c r="L29" s="414"/>
      <c r="M29" s="414"/>
      <c r="N29" s="414"/>
      <c r="O29" s="414">
        <f>SUM(O30:O36)</f>
        <v>0</v>
      </c>
      <c r="P29" s="414"/>
      <c r="Q29" s="414"/>
      <c r="R29" s="414"/>
      <c r="S29" s="414">
        <f>SUM(S30:S36)</f>
        <v>0</v>
      </c>
      <c r="T29" s="414"/>
      <c r="U29" s="414"/>
      <c r="V29" s="414"/>
      <c r="W29" s="414">
        <f>SUM(W30:W36)</f>
        <v>0</v>
      </c>
      <c r="X29" s="414">
        <f>SUM(X30:X36)</f>
        <v>0</v>
      </c>
      <c r="Y29" s="145"/>
      <c r="Z29" s="50"/>
    </row>
    <row r="30" spans="1:26">
      <c r="A30" s="32"/>
      <c r="B30" s="33"/>
      <c r="C30" s="36" t="s">
        <v>26</v>
      </c>
      <c r="D30" s="36" t="s">
        <v>256</v>
      </c>
      <c r="E30" s="36">
        <v>3</v>
      </c>
      <c r="F30" s="37"/>
      <c r="G30" s="68">
        <f t="shared" si="0"/>
        <v>0</v>
      </c>
      <c r="H30" s="173" t="s">
        <v>256</v>
      </c>
      <c r="I30" s="36"/>
      <c r="J30" s="68"/>
      <c r="K30" s="68">
        <f>I30*J30</f>
        <v>0</v>
      </c>
      <c r="L30" s="114" t="s">
        <v>256</v>
      </c>
      <c r="M30" s="36"/>
      <c r="N30" s="68"/>
      <c r="O30" s="68">
        <f>M30*N30*1.04</f>
        <v>0</v>
      </c>
      <c r="P30" s="173" t="s">
        <v>256</v>
      </c>
      <c r="Q30" s="68"/>
      <c r="R30" s="68"/>
      <c r="S30" s="416">
        <f>Q30*R30*1.04</f>
        <v>0</v>
      </c>
      <c r="T30" s="447" t="s">
        <v>256</v>
      </c>
      <c r="U30" s="416"/>
      <c r="V30" s="416"/>
      <c r="W30" s="416">
        <f t="shared" si="5"/>
        <v>0</v>
      </c>
      <c r="X30" s="416">
        <f>SUM(G30,K30,O30,S30,W30)</f>
        <v>0</v>
      </c>
      <c r="Y30" s="35"/>
    </row>
    <row r="31" spans="1:26">
      <c r="A31" s="32"/>
      <c r="B31" s="33"/>
      <c r="C31" s="36" t="s">
        <v>299</v>
      </c>
      <c r="D31" s="36" t="s">
        <v>300</v>
      </c>
      <c r="E31" s="36">
        <v>1</v>
      </c>
      <c r="F31" s="37"/>
      <c r="G31" s="68">
        <f t="shared" si="0"/>
        <v>0</v>
      </c>
      <c r="H31" s="36" t="s">
        <v>300</v>
      </c>
      <c r="I31" s="36"/>
      <c r="J31" s="68"/>
      <c r="K31" s="68">
        <f>I31*J31</f>
        <v>0</v>
      </c>
      <c r="L31" s="36" t="s">
        <v>300</v>
      </c>
      <c r="M31" s="36"/>
      <c r="N31" s="68"/>
      <c r="O31" s="68">
        <f t="shared" ref="O31:O36" si="6">M31*N31*1.04</f>
        <v>0</v>
      </c>
      <c r="P31" s="36" t="s">
        <v>300</v>
      </c>
      <c r="Q31" s="68"/>
      <c r="R31" s="68"/>
      <c r="S31" s="416">
        <f t="shared" ref="S31:S36" si="7">Q31*R31*1.04</f>
        <v>0</v>
      </c>
      <c r="T31" s="448" t="s">
        <v>300</v>
      </c>
      <c r="U31" s="416"/>
      <c r="V31" s="416"/>
      <c r="W31" s="416">
        <f t="shared" si="5"/>
        <v>0</v>
      </c>
      <c r="X31" s="416">
        <f>SUM(G31,K31,O31,S31,W31)</f>
        <v>0</v>
      </c>
      <c r="Y31" s="35"/>
    </row>
    <row r="32" spans="1:26">
      <c r="A32" s="32"/>
      <c r="B32" s="33"/>
      <c r="C32" s="36" t="s">
        <v>27</v>
      </c>
      <c r="D32" s="36" t="s">
        <v>256</v>
      </c>
      <c r="E32" s="36">
        <v>3</v>
      </c>
      <c r="F32" s="37"/>
      <c r="G32" s="68">
        <f t="shared" si="0"/>
        <v>0</v>
      </c>
      <c r="H32" s="173" t="s">
        <v>256</v>
      </c>
      <c r="I32" s="36"/>
      <c r="J32" s="37"/>
      <c r="K32" s="68">
        <f t="shared" ref="K32:K36" si="8">I32*J32</f>
        <v>0</v>
      </c>
      <c r="L32" s="114" t="s">
        <v>256</v>
      </c>
      <c r="M32" s="36"/>
      <c r="N32" s="37"/>
      <c r="O32" s="68">
        <f t="shared" si="6"/>
        <v>0</v>
      </c>
      <c r="P32" s="173" t="s">
        <v>256</v>
      </c>
      <c r="Q32" s="68"/>
      <c r="R32" s="37"/>
      <c r="S32" s="416">
        <f t="shared" si="7"/>
        <v>0</v>
      </c>
      <c r="T32" s="447" t="s">
        <v>256</v>
      </c>
      <c r="U32" s="416"/>
      <c r="V32" s="416"/>
      <c r="W32" s="416">
        <f t="shared" si="5"/>
        <v>0</v>
      </c>
      <c r="X32" s="416">
        <f t="shared" ref="X32:X36" si="9">SUM(G32,K32,O32,S32,W32)</f>
        <v>0</v>
      </c>
      <c r="Y32" s="35"/>
    </row>
    <row r="33" spans="1:26">
      <c r="A33" s="32"/>
      <c r="B33" s="33"/>
      <c r="C33" s="36" t="s">
        <v>63</v>
      </c>
      <c r="D33" s="36" t="s">
        <v>256</v>
      </c>
      <c r="E33" s="36">
        <v>3</v>
      </c>
      <c r="F33" s="37"/>
      <c r="G33" s="68">
        <f t="shared" si="0"/>
        <v>0</v>
      </c>
      <c r="H33" s="173" t="s">
        <v>256</v>
      </c>
      <c r="I33" s="36"/>
      <c r="J33" s="37"/>
      <c r="K33" s="68">
        <f t="shared" si="8"/>
        <v>0</v>
      </c>
      <c r="L33" s="114" t="s">
        <v>256</v>
      </c>
      <c r="M33" s="36"/>
      <c r="N33" s="37"/>
      <c r="O33" s="68">
        <f t="shared" si="6"/>
        <v>0</v>
      </c>
      <c r="P33" s="173" t="s">
        <v>256</v>
      </c>
      <c r="Q33" s="68"/>
      <c r="R33" s="37"/>
      <c r="S33" s="416">
        <f t="shared" si="7"/>
        <v>0</v>
      </c>
      <c r="T33" s="447" t="s">
        <v>256</v>
      </c>
      <c r="U33" s="416"/>
      <c r="V33" s="416"/>
      <c r="W33" s="416">
        <f t="shared" si="5"/>
        <v>0</v>
      </c>
      <c r="X33" s="416">
        <f t="shared" si="9"/>
        <v>0</v>
      </c>
      <c r="Y33" s="35"/>
    </row>
    <row r="34" spans="1:26">
      <c r="A34" s="32"/>
      <c r="B34" s="33"/>
      <c r="C34" s="36" t="s">
        <v>38</v>
      </c>
      <c r="D34" s="36" t="s">
        <v>256</v>
      </c>
      <c r="E34" s="36">
        <v>3</v>
      </c>
      <c r="F34" s="37"/>
      <c r="G34" s="68">
        <f t="shared" si="0"/>
        <v>0</v>
      </c>
      <c r="H34" s="173" t="s">
        <v>256</v>
      </c>
      <c r="I34" s="36"/>
      <c r="J34" s="37"/>
      <c r="K34" s="68">
        <f t="shared" si="8"/>
        <v>0</v>
      </c>
      <c r="L34" s="114" t="s">
        <v>256</v>
      </c>
      <c r="M34" s="36"/>
      <c r="N34" s="37"/>
      <c r="O34" s="68">
        <f t="shared" si="6"/>
        <v>0</v>
      </c>
      <c r="P34" s="173" t="s">
        <v>257</v>
      </c>
      <c r="Q34" s="68"/>
      <c r="R34" s="37"/>
      <c r="S34" s="416">
        <f t="shared" si="7"/>
        <v>0</v>
      </c>
      <c r="T34" s="447" t="s">
        <v>257</v>
      </c>
      <c r="U34" s="416"/>
      <c r="V34" s="416"/>
      <c r="W34" s="416">
        <f t="shared" si="5"/>
        <v>0</v>
      </c>
      <c r="X34" s="416">
        <f t="shared" si="9"/>
        <v>0</v>
      </c>
      <c r="Y34" s="35"/>
    </row>
    <row r="35" spans="1:26">
      <c r="A35" s="32"/>
      <c r="B35" s="33"/>
      <c r="C35" s="36" t="s">
        <v>28</v>
      </c>
      <c r="D35" s="36" t="s">
        <v>256</v>
      </c>
      <c r="E35" s="36">
        <v>3</v>
      </c>
      <c r="F35" s="37"/>
      <c r="G35" s="68">
        <f t="shared" si="0"/>
        <v>0</v>
      </c>
      <c r="H35" s="173" t="s">
        <v>256</v>
      </c>
      <c r="I35" s="36"/>
      <c r="J35" s="37"/>
      <c r="K35" s="68">
        <f t="shared" si="8"/>
        <v>0</v>
      </c>
      <c r="L35" s="114" t="s">
        <v>256</v>
      </c>
      <c r="M35" s="36"/>
      <c r="N35" s="37"/>
      <c r="O35" s="68">
        <f t="shared" si="6"/>
        <v>0</v>
      </c>
      <c r="P35" s="173" t="s">
        <v>256</v>
      </c>
      <c r="Q35" s="68"/>
      <c r="R35" s="37"/>
      <c r="S35" s="416">
        <f t="shared" si="7"/>
        <v>0</v>
      </c>
      <c r="T35" s="447" t="s">
        <v>256</v>
      </c>
      <c r="U35" s="416"/>
      <c r="V35" s="416"/>
      <c r="W35" s="416">
        <f t="shared" si="5"/>
        <v>0</v>
      </c>
      <c r="X35" s="416">
        <f t="shared" si="9"/>
        <v>0</v>
      </c>
      <c r="Y35" s="35"/>
    </row>
    <row r="36" spans="1:26">
      <c r="A36" s="32"/>
      <c r="B36" s="33"/>
      <c r="C36" s="36" t="s">
        <v>275</v>
      </c>
      <c r="D36" s="36" t="s">
        <v>256</v>
      </c>
      <c r="E36" s="36">
        <v>3</v>
      </c>
      <c r="F36" s="37"/>
      <c r="G36" s="68">
        <f t="shared" si="0"/>
        <v>0</v>
      </c>
      <c r="H36" s="173" t="s">
        <v>256</v>
      </c>
      <c r="I36" s="36"/>
      <c r="J36" s="37"/>
      <c r="K36" s="68">
        <f t="shared" si="8"/>
        <v>0</v>
      </c>
      <c r="L36" s="114" t="s">
        <v>256</v>
      </c>
      <c r="M36" s="36"/>
      <c r="N36" s="37"/>
      <c r="O36" s="68">
        <f t="shared" si="6"/>
        <v>0</v>
      </c>
      <c r="P36" s="173" t="s">
        <v>256</v>
      </c>
      <c r="Q36" s="68"/>
      <c r="R36" s="37"/>
      <c r="S36" s="416">
        <f t="shared" si="7"/>
        <v>0</v>
      </c>
      <c r="T36" s="447" t="s">
        <v>256</v>
      </c>
      <c r="U36" s="416"/>
      <c r="V36" s="416"/>
      <c r="W36" s="416">
        <f t="shared" si="5"/>
        <v>0</v>
      </c>
      <c r="X36" s="416">
        <f t="shared" si="9"/>
        <v>0</v>
      </c>
      <c r="Y36" s="35"/>
    </row>
    <row r="37" spans="1:26" ht="20.149999999999999" hidden="1" customHeight="1">
      <c r="A37" s="32"/>
      <c r="B37" s="33"/>
      <c r="C37" s="36"/>
      <c r="D37" s="36"/>
      <c r="E37" s="36"/>
      <c r="F37" s="37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416"/>
      <c r="T37" s="416"/>
      <c r="U37" s="416"/>
      <c r="V37" s="416"/>
      <c r="W37" s="416"/>
      <c r="X37" s="53"/>
      <c r="Y37" s="35"/>
    </row>
    <row r="38" spans="1:26" ht="21.5" customHeight="1">
      <c r="A38" s="431" t="s">
        <v>128</v>
      </c>
      <c r="B38" s="432"/>
      <c r="C38" s="433" t="s">
        <v>276</v>
      </c>
      <c r="D38" s="433"/>
      <c r="E38" s="433"/>
      <c r="F38" s="434"/>
      <c r="G38" s="435">
        <f>SUM(G39,G50,G60,G66,G74,G87)</f>
        <v>0</v>
      </c>
      <c r="H38" s="435"/>
      <c r="I38" s="435"/>
      <c r="J38" s="435"/>
      <c r="K38" s="435">
        <f>SUM(K39,K50,K60,K66,K74,K87)</f>
        <v>0</v>
      </c>
      <c r="L38" s="435"/>
      <c r="M38" s="435"/>
      <c r="N38" s="435"/>
      <c r="O38" s="435">
        <f>SUM(O39,O50,O60,O66,O74,O87)</f>
        <v>0</v>
      </c>
      <c r="P38" s="435"/>
      <c r="Q38" s="435"/>
      <c r="R38" s="435"/>
      <c r="S38" s="435">
        <f>SUM(S39,S50,S60,S66,S74,S87)</f>
        <v>0</v>
      </c>
      <c r="T38" s="435"/>
      <c r="U38" s="435"/>
      <c r="V38" s="435"/>
      <c r="W38" s="435">
        <f>SUM(W39,W50,W60,W66,W74,W87)</f>
        <v>0</v>
      </c>
      <c r="X38" s="435">
        <f>SUM(X39,X50,X60,X66,X74,X87)</f>
        <v>0</v>
      </c>
      <c r="Y38" s="436"/>
    </row>
    <row r="39" spans="1:26" s="22" customFormat="1" ht="39" customHeight="1">
      <c r="A39" s="43">
        <v>1</v>
      </c>
      <c r="B39" s="44"/>
      <c r="C39" s="45" t="s">
        <v>284</v>
      </c>
      <c r="D39" s="45"/>
      <c r="E39" s="45"/>
      <c r="F39" s="48"/>
      <c r="G39" s="48">
        <f>SUM(G40:G49)</f>
        <v>0</v>
      </c>
      <c r="H39" s="414"/>
      <c r="I39" s="414"/>
      <c r="J39" s="414"/>
      <c r="K39" s="48">
        <f>SUM(K40:K49)</f>
        <v>0</v>
      </c>
      <c r="L39" s="414"/>
      <c r="M39" s="414"/>
      <c r="N39" s="414"/>
      <c r="O39" s="414">
        <f>SUM(O40:O49)</f>
        <v>0</v>
      </c>
      <c r="P39" s="414"/>
      <c r="Q39" s="414"/>
      <c r="R39" s="414"/>
      <c r="S39" s="414">
        <f>SUM(S40:S49)</f>
        <v>0</v>
      </c>
      <c r="T39" s="414"/>
      <c r="U39" s="414"/>
      <c r="V39" s="414"/>
      <c r="W39" s="414">
        <f>SUM(W40:W49)</f>
        <v>0</v>
      </c>
      <c r="X39" s="414">
        <f>SUM(X40:X49)</f>
        <v>0</v>
      </c>
      <c r="Y39" s="415"/>
      <c r="Z39" s="50"/>
    </row>
    <row r="40" spans="1:26">
      <c r="A40" s="32"/>
      <c r="B40" s="33"/>
      <c r="C40" s="36" t="s">
        <v>282</v>
      </c>
      <c r="D40" s="36" t="s">
        <v>257</v>
      </c>
      <c r="E40" s="36"/>
      <c r="F40" s="37"/>
      <c r="G40" s="68">
        <f t="shared" ref="G40:G49" si="10">E40*F40</f>
        <v>0</v>
      </c>
      <c r="H40" s="36" t="s">
        <v>257</v>
      </c>
      <c r="I40" s="36"/>
      <c r="J40" s="37"/>
      <c r="K40" s="68">
        <f t="shared" ref="K40:K58" si="11">I40*J40</f>
        <v>0</v>
      </c>
      <c r="L40" s="36" t="s">
        <v>257</v>
      </c>
      <c r="M40" s="36"/>
      <c r="N40" s="37"/>
      <c r="O40" s="68">
        <f>M40*N40*1.04</f>
        <v>0</v>
      </c>
      <c r="P40" s="36" t="s">
        <v>257</v>
      </c>
      <c r="Q40" s="36"/>
      <c r="R40" s="37"/>
      <c r="S40" s="416">
        <f>Q40*R40*1.04</f>
        <v>0</v>
      </c>
      <c r="T40" s="36" t="s">
        <v>257</v>
      </c>
      <c r="U40" s="36"/>
      <c r="V40" s="416"/>
      <c r="W40" s="416">
        <f t="shared" ref="W40:W64" si="12">U40*V40</f>
        <v>0</v>
      </c>
      <c r="X40" s="416">
        <f>SUM(G40,K40,O40,S40,W40)</f>
        <v>0</v>
      </c>
      <c r="Y40" s="35"/>
    </row>
    <row r="41" spans="1:26">
      <c r="A41" s="32"/>
      <c r="B41" s="33"/>
      <c r="C41" s="36"/>
      <c r="D41" s="36" t="s">
        <v>257</v>
      </c>
      <c r="E41" s="36"/>
      <c r="F41" s="37"/>
      <c r="G41" s="68">
        <f t="shared" si="10"/>
        <v>0</v>
      </c>
      <c r="H41" s="36" t="s">
        <v>257</v>
      </c>
      <c r="I41" s="36"/>
      <c r="J41" s="37"/>
      <c r="K41" s="68">
        <f t="shared" si="11"/>
        <v>0</v>
      </c>
      <c r="L41" s="36" t="s">
        <v>257</v>
      </c>
      <c r="M41" s="36"/>
      <c r="N41" s="37"/>
      <c r="O41" s="68">
        <f t="shared" ref="O41:O49" si="13">M41*N41*1.04</f>
        <v>0</v>
      </c>
      <c r="P41" s="36" t="s">
        <v>257</v>
      </c>
      <c r="Q41" s="36"/>
      <c r="R41" s="37"/>
      <c r="S41" s="416">
        <f t="shared" ref="S41:S49" si="14">Q41*R41*1.04</f>
        <v>0</v>
      </c>
      <c r="T41" s="36" t="s">
        <v>257</v>
      </c>
      <c r="U41" s="36"/>
      <c r="V41" s="416"/>
      <c r="W41" s="416">
        <f t="shared" si="12"/>
        <v>0</v>
      </c>
      <c r="X41" s="416">
        <f t="shared" ref="X41:X49" si="15">SUM(G41,K41,O41,S41,W41)</f>
        <v>0</v>
      </c>
      <c r="Y41" s="35"/>
    </row>
    <row r="42" spans="1:26">
      <c r="A42" s="32"/>
      <c r="B42" s="33"/>
      <c r="C42" s="36"/>
      <c r="D42" s="36" t="s">
        <v>257</v>
      </c>
      <c r="E42" s="36"/>
      <c r="F42" s="37"/>
      <c r="G42" s="68">
        <f t="shared" si="10"/>
        <v>0</v>
      </c>
      <c r="H42" s="36" t="s">
        <v>257</v>
      </c>
      <c r="I42" s="36"/>
      <c r="J42" s="37"/>
      <c r="K42" s="68">
        <f t="shared" si="11"/>
        <v>0</v>
      </c>
      <c r="L42" s="36" t="s">
        <v>257</v>
      </c>
      <c r="M42" s="36"/>
      <c r="N42" s="37"/>
      <c r="O42" s="68">
        <f t="shared" si="13"/>
        <v>0</v>
      </c>
      <c r="P42" s="36" t="s">
        <v>257</v>
      </c>
      <c r="Q42" s="36"/>
      <c r="R42" s="37"/>
      <c r="S42" s="416">
        <f t="shared" si="14"/>
        <v>0</v>
      </c>
      <c r="T42" s="36" t="s">
        <v>257</v>
      </c>
      <c r="U42" s="36"/>
      <c r="V42" s="416"/>
      <c r="W42" s="416">
        <f t="shared" si="12"/>
        <v>0</v>
      </c>
      <c r="X42" s="416">
        <f t="shared" si="15"/>
        <v>0</v>
      </c>
      <c r="Y42" s="35"/>
    </row>
    <row r="43" spans="1:26">
      <c r="A43" s="32"/>
      <c r="B43" s="33"/>
      <c r="C43" s="36"/>
      <c r="D43" s="36" t="s">
        <v>257</v>
      </c>
      <c r="E43" s="36"/>
      <c r="F43" s="37"/>
      <c r="G43" s="68">
        <f t="shared" si="10"/>
        <v>0</v>
      </c>
      <c r="H43" s="36" t="s">
        <v>257</v>
      </c>
      <c r="I43" s="36"/>
      <c r="J43" s="37"/>
      <c r="K43" s="68">
        <f t="shared" si="11"/>
        <v>0</v>
      </c>
      <c r="L43" s="36" t="s">
        <v>257</v>
      </c>
      <c r="M43" s="36"/>
      <c r="N43" s="37"/>
      <c r="O43" s="68">
        <f t="shared" si="13"/>
        <v>0</v>
      </c>
      <c r="P43" s="36" t="s">
        <v>257</v>
      </c>
      <c r="Q43" s="36"/>
      <c r="R43" s="37"/>
      <c r="S43" s="416">
        <f t="shared" si="14"/>
        <v>0</v>
      </c>
      <c r="T43" s="36" t="s">
        <v>257</v>
      </c>
      <c r="U43" s="36"/>
      <c r="V43" s="416"/>
      <c r="W43" s="416">
        <f t="shared" si="12"/>
        <v>0</v>
      </c>
      <c r="X43" s="416">
        <f t="shared" si="15"/>
        <v>0</v>
      </c>
      <c r="Y43" s="35"/>
    </row>
    <row r="44" spans="1:26">
      <c r="A44" s="32"/>
      <c r="B44" s="33"/>
      <c r="C44" s="36"/>
      <c r="D44" s="36" t="s">
        <v>257</v>
      </c>
      <c r="E44" s="36"/>
      <c r="F44" s="37"/>
      <c r="G44" s="68">
        <f t="shared" si="10"/>
        <v>0</v>
      </c>
      <c r="H44" s="36" t="s">
        <v>257</v>
      </c>
      <c r="I44" s="36"/>
      <c r="J44" s="37"/>
      <c r="K44" s="68">
        <f t="shared" si="11"/>
        <v>0</v>
      </c>
      <c r="L44" s="36" t="s">
        <v>257</v>
      </c>
      <c r="M44" s="36"/>
      <c r="N44" s="37"/>
      <c r="O44" s="68">
        <f t="shared" si="13"/>
        <v>0</v>
      </c>
      <c r="P44" s="36" t="s">
        <v>257</v>
      </c>
      <c r="Q44" s="36"/>
      <c r="R44" s="37"/>
      <c r="S44" s="416">
        <f t="shared" si="14"/>
        <v>0</v>
      </c>
      <c r="T44" s="36" t="s">
        <v>257</v>
      </c>
      <c r="U44" s="36"/>
      <c r="V44" s="416"/>
      <c r="W44" s="416">
        <f t="shared" si="12"/>
        <v>0</v>
      </c>
      <c r="X44" s="416">
        <f t="shared" si="15"/>
        <v>0</v>
      </c>
      <c r="Y44" s="35"/>
    </row>
    <row r="45" spans="1:26">
      <c r="A45" s="32"/>
      <c r="B45" s="33"/>
      <c r="C45" s="417"/>
      <c r="D45" s="36" t="s">
        <v>257</v>
      </c>
      <c r="E45" s="36"/>
      <c r="F45" s="37"/>
      <c r="G45" s="68">
        <f t="shared" si="10"/>
        <v>0</v>
      </c>
      <c r="H45" s="36" t="s">
        <v>257</v>
      </c>
      <c r="I45" s="36"/>
      <c r="J45" s="37"/>
      <c r="K45" s="68">
        <f t="shared" si="11"/>
        <v>0</v>
      </c>
      <c r="L45" s="36" t="s">
        <v>257</v>
      </c>
      <c r="M45" s="36"/>
      <c r="N45" s="37"/>
      <c r="O45" s="68">
        <f t="shared" si="13"/>
        <v>0</v>
      </c>
      <c r="P45" s="36" t="s">
        <v>257</v>
      </c>
      <c r="Q45" s="417"/>
      <c r="R45" s="37"/>
      <c r="S45" s="416">
        <f t="shared" si="14"/>
        <v>0</v>
      </c>
      <c r="T45" s="36" t="s">
        <v>257</v>
      </c>
      <c r="U45" s="417"/>
      <c r="V45" s="416"/>
      <c r="W45" s="416">
        <f t="shared" si="12"/>
        <v>0</v>
      </c>
      <c r="X45" s="416">
        <f t="shared" si="15"/>
        <v>0</v>
      </c>
      <c r="Y45" s="35"/>
    </row>
    <row r="46" spans="1:26">
      <c r="A46" s="32"/>
      <c r="B46" s="33"/>
      <c r="C46" s="36"/>
      <c r="D46" s="36" t="s">
        <v>258</v>
      </c>
      <c r="E46" s="36"/>
      <c r="F46" s="37"/>
      <c r="G46" s="68">
        <f t="shared" si="10"/>
        <v>0</v>
      </c>
      <c r="H46" s="36" t="s">
        <v>257</v>
      </c>
      <c r="I46" s="36"/>
      <c r="J46" s="37"/>
      <c r="K46" s="68">
        <f t="shared" si="11"/>
        <v>0</v>
      </c>
      <c r="L46" s="36" t="s">
        <v>258</v>
      </c>
      <c r="M46" s="36"/>
      <c r="N46" s="37"/>
      <c r="O46" s="68">
        <f t="shared" si="13"/>
        <v>0</v>
      </c>
      <c r="P46" s="36" t="s">
        <v>258</v>
      </c>
      <c r="Q46" s="36"/>
      <c r="R46" s="37"/>
      <c r="S46" s="416">
        <f t="shared" si="14"/>
        <v>0</v>
      </c>
      <c r="T46" s="36" t="s">
        <v>258</v>
      </c>
      <c r="U46" s="36"/>
      <c r="V46" s="416"/>
      <c r="W46" s="416">
        <f t="shared" si="12"/>
        <v>0</v>
      </c>
      <c r="X46" s="416">
        <f t="shared" si="15"/>
        <v>0</v>
      </c>
      <c r="Y46" s="35"/>
    </row>
    <row r="47" spans="1:26">
      <c r="A47" s="32"/>
      <c r="B47" s="33"/>
      <c r="C47" s="36"/>
      <c r="D47" s="36" t="s">
        <v>258</v>
      </c>
      <c r="E47" s="36"/>
      <c r="F47" s="37"/>
      <c r="G47" s="68">
        <f t="shared" si="10"/>
        <v>0</v>
      </c>
      <c r="H47" s="36" t="s">
        <v>257</v>
      </c>
      <c r="I47" s="36"/>
      <c r="J47" s="37"/>
      <c r="K47" s="68">
        <f t="shared" si="11"/>
        <v>0</v>
      </c>
      <c r="L47" s="36" t="s">
        <v>258</v>
      </c>
      <c r="M47" s="36"/>
      <c r="N47" s="37"/>
      <c r="O47" s="68">
        <f t="shared" si="13"/>
        <v>0</v>
      </c>
      <c r="P47" s="36" t="s">
        <v>258</v>
      </c>
      <c r="Q47" s="36"/>
      <c r="R47" s="37"/>
      <c r="S47" s="416">
        <f t="shared" si="14"/>
        <v>0</v>
      </c>
      <c r="T47" s="36" t="s">
        <v>258</v>
      </c>
      <c r="U47" s="36"/>
      <c r="V47" s="416"/>
      <c r="W47" s="416">
        <f t="shared" si="12"/>
        <v>0</v>
      </c>
      <c r="X47" s="416">
        <f t="shared" si="15"/>
        <v>0</v>
      </c>
      <c r="Y47" s="79"/>
    </row>
    <row r="48" spans="1:26">
      <c r="A48" s="32"/>
      <c r="B48" s="33"/>
      <c r="C48" s="190"/>
      <c r="D48" s="190"/>
      <c r="E48" s="190"/>
      <c r="F48" s="37"/>
      <c r="G48" s="68">
        <f t="shared" si="10"/>
        <v>0</v>
      </c>
      <c r="H48" s="190"/>
      <c r="I48" s="190"/>
      <c r="J48" s="37"/>
      <c r="K48" s="68">
        <f t="shared" si="11"/>
        <v>0</v>
      </c>
      <c r="L48" s="190"/>
      <c r="M48" s="190"/>
      <c r="N48" s="37"/>
      <c r="O48" s="68">
        <f t="shared" si="13"/>
        <v>0</v>
      </c>
      <c r="P48" s="36" t="s">
        <v>258</v>
      </c>
      <c r="Q48" s="36"/>
      <c r="R48" s="37"/>
      <c r="S48" s="416">
        <f t="shared" si="14"/>
        <v>0</v>
      </c>
      <c r="T48" s="36" t="s">
        <v>258</v>
      </c>
      <c r="U48" s="36"/>
      <c r="V48" s="418"/>
      <c r="W48" s="416">
        <f t="shared" si="12"/>
        <v>0</v>
      </c>
      <c r="X48" s="416">
        <f t="shared" si="15"/>
        <v>0</v>
      </c>
      <c r="Y48" s="419"/>
    </row>
    <row r="49" spans="1:26">
      <c r="A49" s="32"/>
      <c r="B49" s="33"/>
      <c r="C49" s="36"/>
      <c r="D49" s="36"/>
      <c r="E49" s="36"/>
      <c r="F49" s="37"/>
      <c r="G49" s="68">
        <f t="shared" si="10"/>
        <v>0</v>
      </c>
      <c r="H49" s="36"/>
      <c r="I49" s="36"/>
      <c r="J49" s="37"/>
      <c r="K49" s="68">
        <f t="shared" si="11"/>
        <v>0</v>
      </c>
      <c r="L49" s="36"/>
      <c r="M49" s="36"/>
      <c r="N49" s="37"/>
      <c r="O49" s="68">
        <f t="shared" si="13"/>
        <v>0</v>
      </c>
      <c r="P49" s="36" t="s">
        <v>258</v>
      </c>
      <c r="Q49" s="36"/>
      <c r="R49" s="37"/>
      <c r="S49" s="416">
        <f t="shared" si="14"/>
        <v>0</v>
      </c>
      <c r="T49" s="36" t="s">
        <v>258</v>
      </c>
      <c r="U49" s="36"/>
      <c r="V49" s="416"/>
      <c r="W49" s="416">
        <f t="shared" si="12"/>
        <v>0</v>
      </c>
      <c r="X49" s="416">
        <f t="shared" si="15"/>
        <v>0</v>
      </c>
      <c r="Y49" s="35"/>
    </row>
    <row r="50" spans="1:26" s="22" customFormat="1" ht="33" customHeight="1">
      <c r="A50" s="43">
        <v>2</v>
      </c>
      <c r="B50" s="44" t="s">
        <v>277</v>
      </c>
      <c r="C50" s="45" t="s">
        <v>293</v>
      </c>
      <c r="D50" s="45"/>
      <c r="E50" s="45"/>
      <c r="F50" s="48"/>
      <c r="G50" s="414">
        <f>SUM(G51:G59)</f>
        <v>0</v>
      </c>
      <c r="H50" s="414"/>
      <c r="I50" s="414"/>
      <c r="J50" s="414"/>
      <c r="K50" s="414">
        <f>SUM(K51:K59)</f>
        <v>0</v>
      </c>
      <c r="L50" s="414"/>
      <c r="M50" s="414"/>
      <c r="N50" s="414"/>
      <c r="O50" s="414">
        <f>SUM(O51:O59)</f>
        <v>0</v>
      </c>
      <c r="P50" s="414"/>
      <c r="Q50" s="414"/>
      <c r="R50" s="414"/>
      <c r="S50" s="414">
        <f>SUM(S51:S59)</f>
        <v>0</v>
      </c>
      <c r="T50" s="414"/>
      <c r="U50" s="414"/>
      <c r="V50" s="414"/>
      <c r="W50" s="414">
        <f>SUM(W51:W59)</f>
        <v>0</v>
      </c>
      <c r="X50" s="414">
        <f>SUM(X51:X59)</f>
        <v>0</v>
      </c>
      <c r="Y50" s="415"/>
      <c r="Z50" s="50"/>
    </row>
    <row r="51" spans="1:26">
      <c r="A51" s="32"/>
      <c r="B51" s="33"/>
      <c r="C51" s="289"/>
      <c r="D51" s="36" t="s">
        <v>257</v>
      </c>
      <c r="E51" s="289"/>
      <c r="F51" s="37"/>
      <c r="G51" s="68">
        <f>E51*F51</f>
        <v>0</v>
      </c>
      <c r="H51" s="36" t="s">
        <v>257</v>
      </c>
      <c r="I51" s="289"/>
      <c r="J51" s="37"/>
      <c r="K51" s="68">
        <f t="shared" si="11"/>
        <v>0</v>
      </c>
      <c r="L51" s="36" t="s">
        <v>257</v>
      </c>
      <c r="M51" s="289"/>
      <c r="N51" s="37"/>
      <c r="O51" s="68">
        <f>M51*N51*1.04</f>
        <v>0</v>
      </c>
      <c r="P51" s="36" t="s">
        <v>257</v>
      </c>
      <c r="Q51" s="289"/>
      <c r="R51" s="37"/>
      <c r="S51" s="416">
        <f>Q51*R51*1.04</f>
        <v>0</v>
      </c>
      <c r="T51" s="36" t="s">
        <v>257</v>
      </c>
      <c r="U51" s="289"/>
      <c r="V51" s="37"/>
      <c r="W51" s="416">
        <f t="shared" si="12"/>
        <v>0</v>
      </c>
      <c r="X51" s="416">
        <f>SUM(G51,K51,O51,S51,W51)</f>
        <v>0</v>
      </c>
      <c r="Y51" s="35"/>
    </row>
    <row r="52" spans="1:26">
      <c r="A52" s="32"/>
      <c r="B52" s="33"/>
      <c r="C52" s="289"/>
      <c r="D52" s="36" t="s">
        <v>257</v>
      </c>
      <c r="E52" s="289"/>
      <c r="F52" s="37"/>
      <c r="G52" s="68">
        <f t="shared" ref="G52:G64" si="16">E52*F52</f>
        <v>0</v>
      </c>
      <c r="H52" s="36" t="s">
        <v>257</v>
      </c>
      <c r="I52" s="289"/>
      <c r="J52" s="37"/>
      <c r="K52" s="68">
        <f t="shared" si="11"/>
        <v>0</v>
      </c>
      <c r="L52" s="36" t="s">
        <v>257</v>
      </c>
      <c r="M52" s="289"/>
      <c r="N52" s="37"/>
      <c r="O52" s="68">
        <f t="shared" ref="O52:O59" si="17">M52*N52*1.04</f>
        <v>0</v>
      </c>
      <c r="P52" s="36" t="s">
        <v>257</v>
      </c>
      <c r="Q52" s="289"/>
      <c r="R52" s="37"/>
      <c r="S52" s="416">
        <f t="shared" ref="S52:S59" si="18">Q52*R52*1.04</f>
        <v>0</v>
      </c>
      <c r="T52" s="36" t="s">
        <v>257</v>
      </c>
      <c r="U52" s="289"/>
      <c r="V52" s="37"/>
      <c r="W52" s="416">
        <f t="shared" si="12"/>
        <v>0</v>
      </c>
      <c r="X52" s="416">
        <f t="shared" ref="X52:X58" si="19">SUM(G52,K52,O52,S52,W52)</f>
        <v>0</v>
      </c>
      <c r="Y52" s="35"/>
    </row>
    <row r="53" spans="1:26">
      <c r="A53" s="32"/>
      <c r="B53" s="33"/>
      <c r="C53" s="289"/>
      <c r="D53" s="36" t="s">
        <v>257</v>
      </c>
      <c r="E53" s="289"/>
      <c r="F53" s="37"/>
      <c r="G53" s="68">
        <f t="shared" si="16"/>
        <v>0</v>
      </c>
      <c r="H53" s="36" t="s">
        <v>257</v>
      </c>
      <c r="I53" s="289"/>
      <c r="J53" s="37"/>
      <c r="K53" s="68">
        <f t="shared" si="11"/>
        <v>0</v>
      </c>
      <c r="L53" s="36" t="s">
        <v>257</v>
      </c>
      <c r="M53" s="289"/>
      <c r="N53" s="37"/>
      <c r="O53" s="68">
        <f t="shared" si="17"/>
        <v>0</v>
      </c>
      <c r="P53" s="36" t="s">
        <v>257</v>
      </c>
      <c r="Q53" s="289"/>
      <c r="R53" s="37"/>
      <c r="S53" s="416">
        <f t="shared" si="18"/>
        <v>0</v>
      </c>
      <c r="T53" s="36" t="s">
        <v>257</v>
      </c>
      <c r="U53" s="289"/>
      <c r="V53" s="37"/>
      <c r="W53" s="416">
        <f t="shared" si="12"/>
        <v>0</v>
      </c>
      <c r="X53" s="416">
        <f t="shared" si="19"/>
        <v>0</v>
      </c>
      <c r="Y53" s="35"/>
    </row>
    <row r="54" spans="1:26">
      <c r="A54" s="32"/>
      <c r="B54" s="33"/>
      <c r="C54" s="289"/>
      <c r="D54" s="289" t="s">
        <v>257</v>
      </c>
      <c r="E54" s="289"/>
      <c r="F54" s="37"/>
      <c r="G54" s="68">
        <f t="shared" si="16"/>
        <v>0</v>
      </c>
      <c r="H54" s="289" t="s">
        <v>257</v>
      </c>
      <c r="I54" s="289"/>
      <c r="J54" s="37"/>
      <c r="K54" s="68">
        <f t="shared" si="11"/>
        <v>0</v>
      </c>
      <c r="L54" s="289" t="s">
        <v>257</v>
      </c>
      <c r="M54" s="289"/>
      <c r="N54" s="37"/>
      <c r="O54" s="68">
        <f t="shared" si="17"/>
        <v>0</v>
      </c>
      <c r="P54" s="289" t="s">
        <v>257</v>
      </c>
      <c r="Q54" s="289"/>
      <c r="R54" s="37"/>
      <c r="S54" s="416">
        <f t="shared" si="18"/>
        <v>0</v>
      </c>
      <c r="T54" s="289" t="s">
        <v>257</v>
      </c>
      <c r="U54" s="289"/>
      <c r="V54" s="37"/>
      <c r="W54" s="416">
        <f t="shared" si="12"/>
        <v>0</v>
      </c>
      <c r="X54" s="416">
        <f t="shared" si="19"/>
        <v>0</v>
      </c>
      <c r="Y54" s="35"/>
    </row>
    <row r="55" spans="1:26">
      <c r="A55" s="32"/>
      <c r="B55" s="33"/>
      <c r="C55" s="289"/>
      <c r="D55" s="289" t="s">
        <v>258</v>
      </c>
      <c r="E55" s="289"/>
      <c r="F55" s="37"/>
      <c r="G55" s="68">
        <f t="shared" si="16"/>
        <v>0</v>
      </c>
      <c r="H55" s="289" t="s">
        <v>258</v>
      </c>
      <c r="I55" s="289"/>
      <c r="J55" s="37"/>
      <c r="K55" s="68">
        <f t="shared" si="11"/>
        <v>0</v>
      </c>
      <c r="L55" s="289" t="s">
        <v>258</v>
      </c>
      <c r="M55" s="289"/>
      <c r="N55" s="37"/>
      <c r="O55" s="68">
        <f t="shared" si="17"/>
        <v>0</v>
      </c>
      <c r="P55" s="289" t="s">
        <v>258</v>
      </c>
      <c r="Q55" s="289"/>
      <c r="R55" s="37"/>
      <c r="S55" s="416">
        <f t="shared" si="18"/>
        <v>0</v>
      </c>
      <c r="T55" s="289" t="s">
        <v>258</v>
      </c>
      <c r="U55" s="289"/>
      <c r="V55" s="37"/>
      <c r="W55" s="416">
        <f t="shared" si="12"/>
        <v>0</v>
      </c>
      <c r="X55" s="416">
        <f t="shared" si="19"/>
        <v>0</v>
      </c>
      <c r="Y55" s="35"/>
    </row>
    <row r="56" spans="1:26">
      <c r="A56" s="32"/>
      <c r="B56" s="33"/>
      <c r="C56" s="289"/>
      <c r="D56" s="289" t="s">
        <v>258</v>
      </c>
      <c r="E56" s="289"/>
      <c r="F56" s="37"/>
      <c r="G56" s="68">
        <f t="shared" si="16"/>
        <v>0</v>
      </c>
      <c r="H56" s="289" t="s">
        <v>258</v>
      </c>
      <c r="I56" s="289"/>
      <c r="J56" s="37"/>
      <c r="K56" s="68">
        <f t="shared" si="11"/>
        <v>0</v>
      </c>
      <c r="L56" s="289" t="s">
        <v>258</v>
      </c>
      <c r="M56" s="289"/>
      <c r="N56" s="37"/>
      <c r="O56" s="68">
        <f t="shared" si="17"/>
        <v>0</v>
      </c>
      <c r="P56" s="289" t="s">
        <v>258</v>
      </c>
      <c r="Q56" s="289"/>
      <c r="R56" s="37"/>
      <c r="S56" s="416">
        <f t="shared" si="18"/>
        <v>0</v>
      </c>
      <c r="T56" s="289" t="s">
        <v>258</v>
      </c>
      <c r="U56" s="289"/>
      <c r="V56" s="37"/>
      <c r="W56" s="416">
        <f t="shared" si="12"/>
        <v>0</v>
      </c>
      <c r="X56" s="416">
        <f t="shared" si="19"/>
        <v>0</v>
      </c>
      <c r="Y56" s="419"/>
    </row>
    <row r="57" spans="1:26">
      <c r="A57" s="32"/>
      <c r="B57" s="33"/>
      <c r="C57" s="289"/>
      <c r="D57" s="289" t="s">
        <v>257</v>
      </c>
      <c r="E57" s="289"/>
      <c r="F57" s="37"/>
      <c r="G57" s="68">
        <f t="shared" si="16"/>
        <v>0</v>
      </c>
      <c r="H57" s="289" t="s">
        <v>257</v>
      </c>
      <c r="I57" s="289"/>
      <c r="J57" s="37"/>
      <c r="K57" s="68">
        <f t="shared" si="11"/>
        <v>0</v>
      </c>
      <c r="L57" s="289" t="s">
        <v>257</v>
      </c>
      <c r="M57" s="289"/>
      <c r="N57" s="37"/>
      <c r="O57" s="68">
        <f t="shared" si="17"/>
        <v>0</v>
      </c>
      <c r="P57" s="289" t="s">
        <v>257</v>
      </c>
      <c r="Q57" s="289"/>
      <c r="R57" s="37"/>
      <c r="S57" s="416">
        <f t="shared" si="18"/>
        <v>0</v>
      </c>
      <c r="T57" s="289" t="s">
        <v>257</v>
      </c>
      <c r="U57" s="289"/>
      <c r="V57" s="37"/>
      <c r="W57" s="416">
        <f t="shared" si="12"/>
        <v>0</v>
      </c>
      <c r="X57" s="416">
        <f t="shared" si="19"/>
        <v>0</v>
      </c>
      <c r="Y57" s="419"/>
    </row>
    <row r="58" spans="1:26">
      <c r="A58" s="32"/>
      <c r="B58" s="33"/>
      <c r="C58" s="289"/>
      <c r="D58" s="289" t="s">
        <v>257</v>
      </c>
      <c r="E58" s="289"/>
      <c r="F58" s="37"/>
      <c r="G58" s="68">
        <f t="shared" si="16"/>
        <v>0</v>
      </c>
      <c r="H58" s="289" t="s">
        <v>257</v>
      </c>
      <c r="I58" s="289"/>
      <c r="J58" s="37"/>
      <c r="K58" s="68">
        <f t="shared" si="11"/>
        <v>0</v>
      </c>
      <c r="L58" s="289" t="s">
        <v>257</v>
      </c>
      <c r="M58" s="289"/>
      <c r="N58" s="37"/>
      <c r="O58" s="68">
        <f t="shared" si="17"/>
        <v>0</v>
      </c>
      <c r="P58" s="289" t="s">
        <v>257</v>
      </c>
      <c r="Q58" s="289"/>
      <c r="R58" s="37"/>
      <c r="S58" s="416">
        <f t="shared" si="18"/>
        <v>0</v>
      </c>
      <c r="T58" s="289" t="s">
        <v>257</v>
      </c>
      <c r="U58" s="289"/>
      <c r="V58" s="37"/>
      <c r="W58" s="416">
        <f t="shared" si="12"/>
        <v>0</v>
      </c>
      <c r="X58" s="416">
        <f t="shared" si="19"/>
        <v>0</v>
      </c>
      <c r="Y58" s="419"/>
    </row>
    <row r="59" spans="1:26">
      <c r="A59" s="32"/>
      <c r="B59" s="33"/>
      <c r="C59" s="289"/>
      <c r="D59" s="289"/>
      <c r="E59" s="289"/>
      <c r="F59" s="37"/>
      <c r="G59" s="68">
        <f t="shared" si="16"/>
        <v>0</v>
      </c>
      <c r="H59" s="289"/>
      <c r="I59" s="289"/>
      <c r="J59" s="37"/>
      <c r="K59" s="68"/>
      <c r="L59" s="68"/>
      <c r="M59" s="68"/>
      <c r="N59" s="68"/>
      <c r="O59" s="68">
        <f t="shared" si="17"/>
        <v>0</v>
      </c>
      <c r="P59" s="289" t="s">
        <v>257</v>
      </c>
      <c r="Q59" s="289"/>
      <c r="R59" s="68"/>
      <c r="S59" s="416">
        <f t="shared" si="18"/>
        <v>0</v>
      </c>
      <c r="T59" s="289" t="s">
        <v>257</v>
      </c>
      <c r="U59" s="289"/>
      <c r="V59" s="416"/>
      <c r="W59" s="416">
        <f t="shared" si="12"/>
        <v>0</v>
      </c>
      <c r="X59" s="416">
        <f t="shared" ref="X59" si="20">SUM(G59,K59,O59,S59)</f>
        <v>0</v>
      </c>
      <c r="Y59" s="419"/>
    </row>
    <row r="60" spans="1:26" s="22" customFormat="1" ht="27" customHeight="1">
      <c r="A60" s="43">
        <v>3</v>
      </c>
      <c r="B60" s="44" t="s">
        <v>278</v>
      </c>
      <c r="C60" s="45" t="s">
        <v>294</v>
      </c>
      <c r="D60" s="45"/>
      <c r="E60" s="45"/>
      <c r="F60" s="48"/>
      <c r="G60" s="48">
        <f>SUM(G61:G64)</f>
        <v>0</v>
      </c>
      <c r="H60" s="112"/>
      <c r="I60" s="112"/>
      <c r="J60" s="112"/>
      <c r="K60" s="48">
        <f>SUM(K61:K64)</f>
        <v>0</v>
      </c>
      <c r="L60" s="112"/>
      <c r="M60" s="112"/>
      <c r="N60" s="48"/>
      <c r="O60" s="48">
        <f>SUM(O61:O64)</f>
        <v>0</v>
      </c>
      <c r="P60" s="112"/>
      <c r="Q60" s="112"/>
      <c r="R60" s="112"/>
      <c r="S60" s="48">
        <f>SUM(S61:S64)</f>
        <v>0</v>
      </c>
      <c r="T60" s="48"/>
      <c r="U60" s="48"/>
      <c r="V60" s="48"/>
      <c r="W60" s="48">
        <f>SUM(W61:W64)</f>
        <v>0</v>
      </c>
      <c r="X60" s="48">
        <f>SUM(X61:X64)</f>
        <v>0</v>
      </c>
      <c r="Y60" s="145"/>
      <c r="Z60" s="50"/>
    </row>
    <row r="61" spans="1:26" ht="21" customHeight="1">
      <c r="A61" s="32"/>
      <c r="B61" s="33"/>
      <c r="C61" s="228"/>
      <c r="D61" s="228" t="s">
        <v>257</v>
      </c>
      <c r="E61" s="228"/>
      <c r="F61" s="37"/>
      <c r="G61" s="71">
        <f>E61*F61</f>
        <v>0</v>
      </c>
      <c r="H61" s="228" t="s">
        <v>257</v>
      </c>
      <c r="I61" s="228"/>
      <c r="J61" s="37"/>
      <c r="K61" s="71">
        <f t="shared" ref="K61:K64" si="21">I61*J61</f>
        <v>0</v>
      </c>
      <c r="L61" s="228" t="s">
        <v>257</v>
      </c>
      <c r="M61" s="228"/>
      <c r="N61" s="37"/>
      <c r="O61" s="71">
        <f>M61*N61*1.04</f>
        <v>0</v>
      </c>
      <c r="P61" s="228" t="s">
        <v>257</v>
      </c>
      <c r="Q61" s="228"/>
      <c r="R61" s="37"/>
      <c r="S61" s="416">
        <f>Q61*R61*1.04</f>
        <v>0</v>
      </c>
      <c r="T61" s="416" t="s">
        <v>257</v>
      </c>
      <c r="U61" s="416"/>
      <c r="V61" s="416"/>
      <c r="W61" s="416">
        <f>U61*V61</f>
        <v>0</v>
      </c>
      <c r="X61" s="416">
        <f>SUM(G61,K61,O61,S61,W61)</f>
        <v>0</v>
      </c>
      <c r="Y61" s="35"/>
    </row>
    <row r="62" spans="1:26">
      <c r="A62" s="32"/>
      <c r="B62" s="33"/>
      <c r="C62" s="228"/>
      <c r="D62" s="228" t="s">
        <v>257</v>
      </c>
      <c r="E62" s="228"/>
      <c r="F62" s="37"/>
      <c r="G62" s="71">
        <f t="shared" si="16"/>
        <v>0</v>
      </c>
      <c r="H62" s="228" t="s">
        <v>257</v>
      </c>
      <c r="I62" s="228"/>
      <c r="J62" s="37"/>
      <c r="K62" s="71">
        <f t="shared" si="21"/>
        <v>0</v>
      </c>
      <c r="L62" s="228" t="s">
        <v>257</v>
      </c>
      <c r="M62" s="228"/>
      <c r="N62" s="37"/>
      <c r="O62" s="71">
        <f t="shared" ref="O62:O64" si="22">M62*N62*1.04</f>
        <v>0</v>
      </c>
      <c r="P62" s="228" t="s">
        <v>257</v>
      </c>
      <c r="Q62" s="228"/>
      <c r="R62" s="37"/>
      <c r="S62" s="416">
        <f t="shared" ref="S62:S64" si="23">Q62*R62*1.04</f>
        <v>0</v>
      </c>
      <c r="T62" s="416" t="s">
        <v>257</v>
      </c>
      <c r="U62" s="416"/>
      <c r="V62" s="416"/>
      <c r="W62" s="416">
        <f t="shared" si="12"/>
        <v>0</v>
      </c>
      <c r="X62" s="416">
        <f t="shared" ref="X62:X64" si="24">SUM(G62,K62,O62,S62,W62)</f>
        <v>0</v>
      </c>
      <c r="Y62" s="35"/>
    </row>
    <row r="63" spans="1:26">
      <c r="A63" s="32"/>
      <c r="B63" s="33"/>
      <c r="C63" s="228"/>
      <c r="D63" s="228" t="s">
        <v>257</v>
      </c>
      <c r="E63" s="228"/>
      <c r="F63" s="37"/>
      <c r="G63" s="71">
        <f t="shared" si="16"/>
        <v>0</v>
      </c>
      <c r="H63" s="228" t="s">
        <v>257</v>
      </c>
      <c r="I63" s="228"/>
      <c r="J63" s="37"/>
      <c r="K63" s="71">
        <f t="shared" si="21"/>
        <v>0</v>
      </c>
      <c r="L63" s="228" t="s">
        <v>257</v>
      </c>
      <c r="M63" s="228"/>
      <c r="N63" s="37"/>
      <c r="O63" s="71">
        <f t="shared" si="22"/>
        <v>0</v>
      </c>
      <c r="P63" s="228" t="s">
        <v>257</v>
      </c>
      <c r="Q63" s="228"/>
      <c r="R63" s="37"/>
      <c r="S63" s="416">
        <f t="shared" si="23"/>
        <v>0</v>
      </c>
      <c r="T63" s="416" t="s">
        <v>257</v>
      </c>
      <c r="U63" s="416"/>
      <c r="V63" s="416"/>
      <c r="W63" s="416">
        <f t="shared" si="12"/>
        <v>0</v>
      </c>
      <c r="X63" s="416">
        <f t="shared" si="24"/>
        <v>0</v>
      </c>
      <c r="Y63" s="35"/>
    </row>
    <row r="64" spans="1:26">
      <c r="A64" s="32"/>
      <c r="B64" s="33"/>
      <c r="C64" s="228"/>
      <c r="D64" s="228"/>
      <c r="E64" s="228"/>
      <c r="F64" s="37"/>
      <c r="G64" s="71">
        <f t="shared" si="16"/>
        <v>0</v>
      </c>
      <c r="H64" s="71"/>
      <c r="I64" s="71"/>
      <c r="J64" s="71"/>
      <c r="K64" s="71">
        <f t="shared" si="21"/>
        <v>0</v>
      </c>
      <c r="L64" s="71"/>
      <c r="M64" s="71"/>
      <c r="N64" s="71"/>
      <c r="O64" s="71">
        <f t="shared" si="22"/>
        <v>0</v>
      </c>
      <c r="P64" s="228" t="s">
        <v>257</v>
      </c>
      <c r="Q64" s="228"/>
      <c r="R64" s="71"/>
      <c r="S64" s="416">
        <f t="shared" si="23"/>
        <v>0</v>
      </c>
      <c r="T64" s="416" t="s">
        <v>257</v>
      </c>
      <c r="U64" s="416"/>
      <c r="V64" s="416"/>
      <c r="W64" s="416">
        <f t="shared" si="12"/>
        <v>0</v>
      </c>
      <c r="X64" s="416">
        <f t="shared" si="24"/>
        <v>0</v>
      </c>
      <c r="Y64" s="35"/>
    </row>
    <row r="65" spans="1:26" hidden="1">
      <c r="A65" s="32"/>
      <c r="B65" s="33"/>
      <c r="C65" s="53"/>
      <c r="D65" s="53"/>
      <c r="E65" s="53"/>
      <c r="F65" s="37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416"/>
      <c r="T65" s="416"/>
      <c r="U65" s="416"/>
      <c r="V65" s="416"/>
      <c r="W65" s="416"/>
      <c r="X65" s="53"/>
      <c r="Y65" s="35"/>
    </row>
    <row r="66" spans="1:26" s="22" customFormat="1" ht="47.5" customHeight="1">
      <c r="A66" s="43">
        <v>4</v>
      </c>
      <c r="B66" s="44" t="s">
        <v>279</v>
      </c>
      <c r="C66" s="45" t="s">
        <v>295</v>
      </c>
      <c r="D66" s="45"/>
      <c r="E66" s="45"/>
      <c r="F66" s="48"/>
      <c r="G66" s="414">
        <f>SUM(G67:G73)</f>
        <v>0</v>
      </c>
      <c r="H66" s="414"/>
      <c r="I66" s="414"/>
      <c r="J66" s="414"/>
      <c r="K66" s="414">
        <f>SUM(K67:K73)</f>
        <v>0</v>
      </c>
      <c r="L66" s="414"/>
      <c r="M66" s="414"/>
      <c r="N66" s="414"/>
      <c r="O66" s="414">
        <f>SUM(O67:O73)</f>
        <v>0</v>
      </c>
      <c r="P66" s="414"/>
      <c r="Q66" s="414"/>
      <c r="R66" s="414"/>
      <c r="S66" s="414">
        <f>SUM(S67:S73)</f>
        <v>0</v>
      </c>
      <c r="T66" s="414"/>
      <c r="U66" s="414"/>
      <c r="V66" s="414"/>
      <c r="W66" s="414">
        <f>SUM(W67:W73)</f>
        <v>0</v>
      </c>
      <c r="X66" s="414">
        <f>SUM(X67:X73)</f>
        <v>0</v>
      </c>
      <c r="Y66" s="415"/>
      <c r="Z66" s="50"/>
    </row>
    <row r="67" spans="1:26" ht="25">
      <c r="A67" s="32"/>
      <c r="B67" s="33"/>
      <c r="C67" s="228" t="s">
        <v>283</v>
      </c>
      <c r="D67" s="228" t="s">
        <v>257</v>
      </c>
      <c r="E67" s="228"/>
      <c r="F67" s="37"/>
      <c r="G67" s="71">
        <f t="shared" ref="G67:G86" si="25">E67*F67</f>
        <v>0</v>
      </c>
      <c r="H67" s="228" t="s">
        <v>257</v>
      </c>
      <c r="I67" s="228"/>
      <c r="J67" s="37"/>
      <c r="K67" s="71">
        <f t="shared" ref="K67:K95" si="26">I67*J67</f>
        <v>0</v>
      </c>
      <c r="L67" s="228" t="s">
        <v>257</v>
      </c>
      <c r="M67" s="228"/>
      <c r="N67" s="37"/>
      <c r="O67" s="71">
        <f>M67*N67*1.04</f>
        <v>0</v>
      </c>
      <c r="P67" s="228" t="s">
        <v>257</v>
      </c>
      <c r="Q67" s="228"/>
      <c r="R67" s="37"/>
      <c r="S67" s="416">
        <f>Q67*R67*1.04</f>
        <v>0</v>
      </c>
      <c r="T67" s="228" t="s">
        <v>257</v>
      </c>
      <c r="U67" s="228"/>
      <c r="V67" s="416"/>
      <c r="W67" s="416">
        <f t="shared" ref="W67:W95" si="27">U67*V67</f>
        <v>0</v>
      </c>
      <c r="X67" s="416">
        <f>SUM(G67,K67,O67,S67,W67)</f>
        <v>0</v>
      </c>
      <c r="Y67" s="35"/>
    </row>
    <row r="68" spans="1:26">
      <c r="A68" s="32"/>
      <c r="B68" s="33"/>
      <c r="C68" s="228"/>
      <c r="D68" s="228" t="s">
        <v>257</v>
      </c>
      <c r="E68" s="228"/>
      <c r="F68" s="37"/>
      <c r="G68" s="71">
        <f t="shared" si="25"/>
        <v>0</v>
      </c>
      <c r="H68" s="228" t="s">
        <v>257</v>
      </c>
      <c r="I68" s="228"/>
      <c r="J68" s="37"/>
      <c r="K68" s="71">
        <f t="shared" si="26"/>
        <v>0</v>
      </c>
      <c r="L68" s="228" t="s">
        <v>257</v>
      </c>
      <c r="M68" s="228"/>
      <c r="N68" s="37"/>
      <c r="O68" s="71">
        <f t="shared" ref="O68:O73" si="28">M68*N68*1.04</f>
        <v>0</v>
      </c>
      <c r="P68" s="228" t="s">
        <v>257</v>
      </c>
      <c r="Q68" s="228"/>
      <c r="R68" s="37"/>
      <c r="S68" s="416">
        <f t="shared" ref="S68:S73" si="29">Q68*R68*1.04</f>
        <v>0</v>
      </c>
      <c r="T68" s="228" t="s">
        <v>257</v>
      </c>
      <c r="U68" s="228"/>
      <c r="V68" s="416"/>
      <c r="W68" s="416">
        <f t="shared" si="27"/>
        <v>0</v>
      </c>
      <c r="X68" s="416">
        <f t="shared" ref="X68:X73" si="30">SUM(G68,K68,O68,S68,W68)</f>
        <v>0</v>
      </c>
      <c r="Y68" s="35"/>
    </row>
    <row r="69" spans="1:26">
      <c r="A69" s="32"/>
      <c r="B69" s="33"/>
      <c r="C69" s="228"/>
      <c r="D69" s="228" t="s">
        <v>257</v>
      </c>
      <c r="E69" s="228"/>
      <c r="F69" s="37"/>
      <c r="G69" s="71">
        <f t="shared" si="25"/>
        <v>0</v>
      </c>
      <c r="H69" s="228" t="s">
        <v>257</v>
      </c>
      <c r="I69" s="228"/>
      <c r="J69" s="37"/>
      <c r="K69" s="71">
        <f t="shared" si="26"/>
        <v>0</v>
      </c>
      <c r="L69" s="228" t="s">
        <v>257</v>
      </c>
      <c r="M69" s="228"/>
      <c r="N69" s="37"/>
      <c r="O69" s="71">
        <f t="shared" si="28"/>
        <v>0</v>
      </c>
      <c r="P69" s="228" t="s">
        <v>257</v>
      </c>
      <c r="Q69" s="228"/>
      <c r="R69" s="37"/>
      <c r="S69" s="416">
        <f t="shared" si="29"/>
        <v>0</v>
      </c>
      <c r="T69" s="228" t="s">
        <v>257</v>
      </c>
      <c r="U69" s="228"/>
      <c r="V69" s="416"/>
      <c r="W69" s="416">
        <f t="shared" si="27"/>
        <v>0</v>
      </c>
      <c r="X69" s="416">
        <f t="shared" si="30"/>
        <v>0</v>
      </c>
      <c r="Y69" s="35"/>
    </row>
    <row r="70" spans="1:26">
      <c r="A70" s="32"/>
      <c r="B70" s="33"/>
      <c r="C70" s="228"/>
      <c r="D70" s="228" t="s">
        <v>257</v>
      </c>
      <c r="E70" s="228"/>
      <c r="F70" s="37"/>
      <c r="G70" s="71">
        <f t="shared" si="25"/>
        <v>0</v>
      </c>
      <c r="H70" s="228" t="s">
        <v>257</v>
      </c>
      <c r="I70" s="228"/>
      <c r="J70" s="37"/>
      <c r="K70" s="71">
        <f t="shared" si="26"/>
        <v>0</v>
      </c>
      <c r="L70" s="228" t="s">
        <v>257</v>
      </c>
      <c r="M70" s="228"/>
      <c r="N70" s="37"/>
      <c r="O70" s="71">
        <f t="shared" si="28"/>
        <v>0</v>
      </c>
      <c r="P70" s="228" t="s">
        <v>257</v>
      </c>
      <c r="Q70" s="228"/>
      <c r="R70" s="37"/>
      <c r="S70" s="416">
        <f t="shared" si="29"/>
        <v>0</v>
      </c>
      <c r="T70" s="228" t="s">
        <v>257</v>
      </c>
      <c r="U70" s="228"/>
      <c r="V70" s="416"/>
      <c r="W70" s="416">
        <f t="shared" si="27"/>
        <v>0</v>
      </c>
      <c r="X70" s="416">
        <f t="shared" si="30"/>
        <v>0</v>
      </c>
      <c r="Y70" s="35"/>
    </row>
    <row r="71" spans="1:26">
      <c r="A71" s="32"/>
      <c r="B71" s="33"/>
      <c r="C71" s="228"/>
      <c r="D71" s="228" t="s">
        <v>257</v>
      </c>
      <c r="E71" s="228"/>
      <c r="F71" s="37"/>
      <c r="G71" s="71">
        <f t="shared" si="25"/>
        <v>0</v>
      </c>
      <c r="H71" s="228" t="s">
        <v>257</v>
      </c>
      <c r="I71" s="228"/>
      <c r="J71" s="37"/>
      <c r="K71" s="71">
        <f t="shared" si="26"/>
        <v>0</v>
      </c>
      <c r="L71" s="228" t="s">
        <v>257</v>
      </c>
      <c r="M71" s="228"/>
      <c r="N71" s="37"/>
      <c r="O71" s="71">
        <f t="shared" si="28"/>
        <v>0</v>
      </c>
      <c r="P71" s="228" t="s">
        <v>257</v>
      </c>
      <c r="Q71" s="228"/>
      <c r="R71" s="37"/>
      <c r="S71" s="416">
        <f t="shared" si="29"/>
        <v>0</v>
      </c>
      <c r="T71" s="228" t="s">
        <v>257</v>
      </c>
      <c r="U71" s="228"/>
      <c r="V71" s="416"/>
      <c r="W71" s="416">
        <f t="shared" si="27"/>
        <v>0</v>
      </c>
      <c r="X71" s="416">
        <f t="shared" si="30"/>
        <v>0</v>
      </c>
      <c r="Y71" s="35"/>
    </row>
    <row r="72" spans="1:26">
      <c r="A72" s="32"/>
      <c r="B72" s="33"/>
      <c r="C72" s="228"/>
      <c r="D72" s="228"/>
      <c r="E72" s="228"/>
      <c r="F72" s="37"/>
      <c r="G72" s="71">
        <f t="shared" si="25"/>
        <v>0</v>
      </c>
      <c r="H72" s="228"/>
      <c r="I72" s="228"/>
      <c r="J72" s="37"/>
      <c r="K72" s="71">
        <f t="shared" si="26"/>
        <v>0</v>
      </c>
      <c r="L72" s="228"/>
      <c r="M72" s="228"/>
      <c r="N72" s="37"/>
      <c r="O72" s="71">
        <f t="shared" si="28"/>
        <v>0</v>
      </c>
      <c r="P72" s="228" t="s">
        <v>257</v>
      </c>
      <c r="Q72" s="228"/>
      <c r="R72" s="37"/>
      <c r="S72" s="416">
        <f t="shared" si="29"/>
        <v>0</v>
      </c>
      <c r="T72" s="228" t="s">
        <v>257</v>
      </c>
      <c r="U72" s="228"/>
      <c r="V72" s="416"/>
      <c r="W72" s="416">
        <f t="shared" si="27"/>
        <v>0</v>
      </c>
      <c r="X72" s="416">
        <f t="shared" si="30"/>
        <v>0</v>
      </c>
      <c r="Y72" s="35"/>
    </row>
    <row r="73" spans="1:26">
      <c r="A73" s="32"/>
      <c r="B73" s="33"/>
      <c r="C73" s="228"/>
      <c r="D73" s="228"/>
      <c r="E73" s="228"/>
      <c r="F73" s="37"/>
      <c r="G73" s="71">
        <f t="shared" si="25"/>
        <v>0</v>
      </c>
      <c r="H73" s="71"/>
      <c r="I73" s="71"/>
      <c r="J73" s="71"/>
      <c r="K73" s="71">
        <f t="shared" si="26"/>
        <v>0</v>
      </c>
      <c r="L73" s="71"/>
      <c r="M73" s="71"/>
      <c r="N73" s="71"/>
      <c r="O73" s="71">
        <f t="shared" si="28"/>
        <v>0</v>
      </c>
      <c r="P73" s="228" t="s">
        <v>257</v>
      </c>
      <c r="Q73" s="228"/>
      <c r="R73" s="37"/>
      <c r="S73" s="416">
        <f t="shared" si="29"/>
        <v>0</v>
      </c>
      <c r="T73" s="228" t="s">
        <v>257</v>
      </c>
      <c r="U73" s="228"/>
      <c r="V73" s="416"/>
      <c r="W73" s="416">
        <f t="shared" si="27"/>
        <v>0</v>
      </c>
      <c r="X73" s="416">
        <f t="shared" si="30"/>
        <v>0</v>
      </c>
      <c r="Y73" s="35"/>
    </row>
    <row r="74" spans="1:26" s="22" customFormat="1" ht="39.5" customHeight="1">
      <c r="A74" s="43">
        <v>6</v>
      </c>
      <c r="B74" s="44" t="s">
        <v>280</v>
      </c>
      <c r="C74" s="45" t="s">
        <v>296</v>
      </c>
      <c r="D74" s="45"/>
      <c r="E74" s="45"/>
      <c r="F74" s="48"/>
      <c r="G74" s="414">
        <f>SUM(G75:G86)</f>
        <v>0</v>
      </c>
      <c r="H74" s="414"/>
      <c r="I74" s="414"/>
      <c r="J74" s="414"/>
      <c r="K74" s="414">
        <f>SUM(K75:K86)</f>
        <v>0</v>
      </c>
      <c r="L74" s="414"/>
      <c r="M74" s="414"/>
      <c r="N74" s="414"/>
      <c r="O74" s="414">
        <f>SUM(O75:O86)</f>
        <v>0</v>
      </c>
      <c r="P74" s="414"/>
      <c r="Q74" s="414"/>
      <c r="R74" s="414"/>
      <c r="S74" s="414">
        <f>SUM(S75:S86)</f>
        <v>0</v>
      </c>
      <c r="T74" s="414"/>
      <c r="U74" s="414"/>
      <c r="V74" s="414"/>
      <c r="W74" s="414">
        <f>SUM(W75:W86)</f>
        <v>0</v>
      </c>
      <c r="X74" s="414">
        <f>SUM(X75:X86)</f>
        <v>0</v>
      </c>
      <c r="Y74" s="415"/>
      <c r="Z74" s="50"/>
    </row>
    <row r="75" spans="1:26">
      <c r="A75" s="32"/>
      <c r="B75" s="33"/>
      <c r="C75" s="228"/>
      <c r="D75" s="228" t="s">
        <v>257</v>
      </c>
      <c r="E75" s="228"/>
      <c r="F75" s="37"/>
      <c r="G75" s="71">
        <f t="shared" si="25"/>
        <v>0</v>
      </c>
      <c r="H75" s="228" t="s">
        <v>257</v>
      </c>
      <c r="I75" s="228"/>
      <c r="J75" s="37"/>
      <c r="K75" s="71">
        <f>I75*J75</f>
        <v>0</v>
      </c>
      <c r="L75" s="228" t="s">
        <v>257</v>
      </c>
      <c r="M75" s="228"/>
      <c r="N75" s="37"/>
      <c r="O75" s="71">
        <f>M75*N75*1.04</f>
        <v>0</v>
      </c>
      <c r="P75" s="228" t="s">
        <v>257</v>
      </c>
      <c r="Q75" s="228"/>
      <c r="R75" s="37"/>
      <c r="S75" s="416">
        <f>Q75*R75*1.04</f>
        <v>0</v>
      </c>
      <c r="T75" s="228" t="s">
        <v>257</v>
      </c>
      <c r="U75" s="228"/>
      <c r="V75" s="416"/>
      <c r="W75" s="416">
        <f t="shared" si="27"/>
        <v>0</v>
      </c>
      <c r="X75" s="416">
        <f>SUM(G75,K75,O75,S75,W75)</f>
        <v>0</v>
      </c>
      <c r="Y75" s="35"/>
    </row>
    <row r="76" spans="1:26">
      <c r="A76" s="32"/>
      <c r="B76" s="33"/>
      <c r="C76" s="228"/>
      <c r="D76" s="228" t="s">
        <v>257</v>
      </c>
      <c r="E76" s="228"/>
      <c r="F76" s="37"/>
      <c r="G76" s="71">
        <f t="shared" si="25"/>
        <v>0</v>
      </c>
      <c r="H76" s="228" t="s">
        <v>257</v>
      </c>
      <c r="I76" s="228"/>
      <c r="J76" s="37"/>
      <c r="K76" s="71">
        <f>I76*J76</f>
        <v>0</v>
      </c>
      <c r="L76" s="228" t="s">
        <v>257</v>
      </c>
      <c r="M76" s="228"/>
      <c r="N76" s="37"/>
      <c r="O76" s="71">
        <f t="shared" ref="O76:O86" si="31">M76*N76*1.04</f>
        <v>0</v>
      </c>
      <c r="P76" s="228" t="s">
        <v>257</v>
      </c>
      <c r="Q76" s="228"/>
      <c r="R76" s="37"/>
      <c r="S76" s="416">
        <f t="shared" ref="S76:S86" si="32">Q76*R76*1.04</f>
        <v>0</v>
      </c>
      <c r="T76" s="228" t="s">
        <v>257</v>
      </c>
      <c r="U76" s="228"/>
      <c r="V76" s="416"/>
      <c r="W76" s="416">
        <f t="shared" si="27"/>
        <v>0</v>
      </c>
      <c r="X76" s="416">
        <f t="shared" ref="X76:X86" si="33">SUM(G76,K76,O76,S76,W76)</f>
        <v>0</v>
      </c>
      <c r="Y76" s="35"/>
    </row>
    <row r="77" spans="1:26">
      <c r="A77" s="32"/>
      <c r="B77" s="33"/>
      <c r="C77" s="228"/>
      <c r="D77" s="228" t="s">
        <v>257</v>
      </c>
      <c r="E77" s="228"/>
      <c r="F77" s="37"/>
      <c r="G77" s="71">
        <f t="shared" si="25"/>
        <v>0</v>
      </c>
      <c r="H77" s="228" t="s">
        <v>257</v>
      </c>
      <c r="I77" s="228"/>
      <c r="J77" s="37"/>
      <c r="K77" s="71">
        <f t="shared" si="26"/>
        <v>0</v>
      </c>
      <c r="L77" s="228" t="s">
        <v>257</v>
      </c>
      <c r="M77" s="228"/>
      <c r="N77" s="37"/>
      <c r="O77" s="71">
        <f t="shared" si="31"/>
        <v>0</v>
      </c>
      <c r="P77" s="228" t="s">
        <v>257</v>
      </c>
      <c r="Q77" s="228"/>
      <c r="R77" s="37"/>
      <c r="S77" s="416">
        <f t="shared" si="32"/>
        <v>0</v>
      </c>
      <c r="T77" s="228" t="s">
        <v>257</v>
      </c>
      <c r="U77" s="228"/>
      <c r="V77" s="416"/>
      <c r="W77" s="416">
        <f t="shared" si="27"/>
        <v>0</v>
      </c>
      <c r="X77" s="416">
        <f t="shared" si="33"/>
        <v>0</v>
      </c>
      <c r="Y77" s="35"/>
    </row>
    <row r="78" spans="1:26">
      <c r="A78" s="32"/>
      <c r="B78" s="33"/>
      <c r="C78" s="228"/>
      <c r="D78" s="228" t="s">
        <v>257</v>
      </c>
      <c r="E78" s="228"/>
      <c r="F78" s="37"/>
      <c r="G78" s="71">
        <f t="shared" si="25"/>
        <v>0</v>
      </c>
      <c r="H78" s="228" t="s">
        <v>257</v>
      </c>
      <c r="I78" s="228"/>
      <c r="J78" s="37"/>
      <c r="K78" s="71">
        <f t="shared" si="26"/>
        <v>0</v>
      </c>
      <c r="L78" s="228" t="s">
        <v>257</v>
      </c>
      <c r="M78" s="228"/>
      <c r="N78" s="37"/>
      <c r="O78" s="71">
        <f t="shared" si="31"/>
        <v>0</v>
      </c>
      <c r="P78" s="228" t="s">
        <v>257</v>
      </c>
      <c r="Q78" s="228"/>
      <c r="R78" s="37"/>
      <c r="S78" s="416">
        <f t="shared" si="32"/>
        <v>0</v>
      </c>
      <c r="T78" s="228" t="s">
        <v>257</v>
      </c>
      <c r="U78" s="228"/>
      <c r="V78" s="416"/>
      <c r="W78" s="416">
        <f t="shared" si="27"/>
        <v>0</v>
      </c>
      <c r="X78" s="416">
        <f t="shared" si="33"/>
        <v>0</v>
      </c>
      <c r="Y78" s="35"/>
    </row>
    <row r="79" spans="1:26">
      <c r="A79" s="32"/>
      <c r="B79" s="33"/>
      <c r="C79" s="228"/>
      <c r="D79" s="228" t="s">
        <v>257</v>
      </c>
      <c r="E79" s="228"/>
      <c r="F79" s="37"/>
      <c r="G79" s="71">
        <f t="shared" si="25"/>
        <v>0</v>
      </c>
      <c r="H79" s="228" t="s">
        <v>257</v>
      </c>
      <c r="I79" s="228"/>
      <c r="J79" s="37"/>
      <c r="K79" s="71">
        <f t="shared" si="26"/>
        <v>0</v>
      </c>
      <c r="L79" s="228" t="s">
        <v>257</v>
      </c>
      <c r="M79" s="228"/>
      <c r="N79" s="37"/>
      <c r="O79" s="71">
        <f t="shared" si="31"/>
        <v>0</v>
      </c>
      <c r="P79" s="228" t="s">
        <v>257</v>
      </c>
      <c r="Q79" s="228"/>
      <c r="R79" s="37"/>
      <c r="S79" s="416">
        <f t="shared" si="32"/>
        <v>0</v>
      </c>
      <c r="T79" s="228" t="s">
        <v>257</v>
      </c>
      <c r="U79" s="228"/>
      <c r="V79" s="416"/>
      <c r="W79" s="416">
        <f t="shared" si="27"/>
        <v>0</v>
      </c>
      <c r="X79" s="416">
        <f t="shared" si="33"/>
        <v>0</v>
      </c>
      <c r="Y79" s="35"/>
    </row>
    <row r="80" spans="1:26">
      <c r="A80" s="32"/>
      <c r="B80" s="33"/>
      <c r="C80" s="228"/>
      <c r="D80" s="228" t="s">
        <v>257</v>
      </c>
      <c r="E80" s="228"/>
      <c r="F80" s="37"/>
      <c r="G80" s="71">
        <f t="shared" si="25"/>
        <v>0</v>
      </c>
      <c r="H80" s="228" t="s">
        <v>257</v>
      </c>
      <c r="I80" s="228"/>
      <c r="J80" s="37"/>
      <c r="K80" s="71">
        <f t="shared" si="26"/>
        <v>0</v>
      </c>
      <c r="L80" s="228" t="s">
        <v>257</v>
      </c>
      <c r="M80" s="228"/>
      <c r="N80" s="37"/>
      <c r="O80" s="71">
        <f t="shared" si="31"/>
        <v>0</v>
      </c>
      <c r="P80" s="228" t="s">
        <v>257</v>
      </c>
      <c r="Q80" s="228"/>
      <c r="R80" s="37"/>
      <c r="S80" s="416">
        <f t="shared" si="32"/>
        <v>0</v>
      </c>
      <c r="T80" s="228" t="s">
        <v>257</v>
      </c>
      <c r="U80" s="228"/>
      <c r="V80" s="416"/>
      <c r="W80" s="416">
        <f t="shared" si="27"/>
        <v>0</v>
      </c>
      <c r="X80" s="416">
        <f t="shared" si="33"/>
        <v>0</v>
      </c>
      <c r="Y80" s="35"/>
    </row>
    <row r="81" spans="1:26">
      <c r="A81" s="32"/>
      <c r="B81" s="33"/>
      <c r="C81" s="228"/>
      <c r="D81" s="228" t="s">
        <v>257</v>
      </c>
      <c r="E81" s="228"/>
      <c r="F81" s="37"/>
      <c r="G81" s="71">
        <f t="shared" si="25"/>
        <v>0</v>
      </c>
      <c r="H81" s="228" t="s">
        <v>257</v>
      </c>
      <c r="I81" s="228"/>
      <c r="J81" s="37"/>
      <c r="K81" s="71">
        <f t="shared" si="26"/>
        <v>0</v>
      </c>
      <c r="L81" s="228" t="s">
        <v>257</v>
      </c>
      <c r="M81" s="228"/>
      <c r="N81" s="37"/>
      <c r="O81" s="71">
        <f t="shared" si="31"/>
        <v>0</v>
      </c>
      <c r="P81" s="228" t="s">
        <v>257</v>
      </c>
      <c r="Q81" s="228"/>
      <c r="R81" s="37"/>
      <c r="S81" s="416">
        <f t="shared" si="32"/>
        <v>0</v>
      </c>
      <c r="T81" s="228" t="s">
        <v>257</v>
      </c>
      <c r="U81" s="228"/>
      <c r="V81" s="416"/>
      <c r="W81" s="416">
        <f t="shared" si="27"/>
        <v>0</v>
      </c>
      <c r="X81" s="416">
        <f t="shared" si="33"/>
        <v>0</v>
      </c>
      <c r="Y81" s="35"/>
    </row>
    <row r="82" spans="1:26">
      <c r="A82" s="32"/>
      <c r="B82" s="33"/>
      <c r="C82" s="228"/>
      <c r="D82" s="228" t="s">
        <v>257</v>
      </c>
      <c r="E82" s="228"/>
      <c r="F82" s="37"/>
      <c r="G82" s="71">
        <f t="shared" si="25"/>
        <v>0</v>
      </c>
      <c r="H82" s="228" t="s">
        <v>257</v>
      </c>
      <c r="I82" s="228"/>
      <c r="J82" s="37"/>
      <c r="K82" s="71">
        <f t="shared" si="26"/>
        <v>0</v>
      </c>
      <c r="L82" s="228" t="s">
        <v>257</v>
      </c>
      <c r="M82" s="228"/>
      <c r="N82" s="37"/>
      <c r="O82" s="71">
        <f t="shared" si="31"/>
        <v>0</v>
      </c>
      <c r="P82" s="228" t="s">
        <v>257</v>
      </c>
      <c r="Q82" s="228"/>
      <c r="R82" s="37"/>
      <c r="S82" s="416">
        <f t="shared" si="32"/>
        <v>0</v>
      </c>
      <c r="T82" s="228" t="s">
        <v>257</v>
      </c>
      <c r="U82" s="228"/>
      <c r="V82" s="416"/>
      <c r="W82" s="416">
        <f t="shared" si="27"/>
        <v>0</v>
      </c>
      <c r="X82" s="416">
        <f t="shared" si="33"/>
        <v>0</v>
      </c>
      <c r="Y82" s="35"/>
    </row>
    <row r="83" spans="1:26">
      <c r="A83" s="32"/>
      <c r="B83" s="33"/>
      <c r="C83" s="228"/>
      <c r="D83" s="228" t="s">
        <v>257</v>
      </c>
      <c r="E83" s="228"/>
      <c r="F83" s="37"/>
      <c r="G83" s="71">
        <f t="shared" si="25"/>
        <v>0</v>
      </c>
      <c r="H83" s="228" t="s">
        <v>257</v>
      </c>
      <c r="I83" s="228"/>
      <c r="J83" s="37"/>
      <c r="K83" s="71">
        <f t="shared" si="26"/>
        <v>0</v>
      </c>
      <c r="L83" s="228" t="s">
        <v>257</v>
      </c>
      <c r="M83" s="228"/>
      <c r="N83" s="37"/>
      <c r="O83" s="71">
        <f t="shared" si="31"/>
        <v>0</v>
      </c>
      <c r="P83" s="228" t="s">
        <v>257</v>
      </c>
      <c r="Q83" s="228"/>
      <c r="R83" s="37"/>
      <c r="S83" s="416">
        <f t="shared" si="32"/>
        <v>0</v>
      </c>
      <c r="T83" s="228" t="s">
        <v>257</v>
      </c>
      <c r="U83" s="228"/>
      <c r="V83" s="416"/>
      <c r="W83" s="416">
        <f t="shared" si="27"/>
        <v>0</v>
      </c>
      <c r="X83" s="416">
        <f t="shared" si="33"/>
        <v>0</v>
      </c>
      <c r="Y83" s="35"/>
    </row>
    <row r="84" spans="1:26" hidden="1">
      <c r="A84" s="32"/>
      <c r="B84" s="33"/>
      <c r="C84" s="228"/>
      <c r="D84" s="228"/>
      <c r="E84" s="228"/>
      <c r="F84" s="37"/>
      <c r="G84" s="71">
        <f t="shared" si="25"/>
        <v>0</v>
      </c>
      <c r="H84" s="71"/>
      <c r="I84" s="71"/>
      <c r="J84" s="71"/>
      <c r="K84" s="71">
        <f t="shared" si="26"/>
        <v>0</v>
      </c>
      <c r="L84" s="71"/>
      <c r="M84" s="71"/>
      <c r="N84" s="71"/>
      <c r="O84" s="71">
        <f t="shared" si="31"/>
        <v>0</v>
      </c>
      <c r="P84" s="71"/>
      <c r="Q84" s="71"/>
      <c r="R84" s="71"/>
      <c r="S84" s="416">
        <f t="shared" si="32"/>
        <v>0</v>
      </c>
      <c r="T84" s="228" t="s">
        <v>257</v>
      </c>
      <c r="U84" s="228"/>
      <c r="V84" s="416"/>
      <c r="W84" s="416">
        <f t="shared" si="27"/>
        <v>0</v>
      </c>
      <c r="X84" s="416">
        <f t="shared" si="33"/>
        <v>0</v>
      </c>
      <c r="Y84" s="35"/>
    </row>
    <row r="85" spans="1:26" hidden="1">
      <c r="A85" s="32"/>
      <c r="B85" s="33"/>
      <c r="C85" s="228"/>
      <c r="D85" s="228"/>
      <c r="E85" s="228"/>
      <c r="F85" s="37"/>
      <c r="G85" s="71">
        <f t="shared" si="25"/>
        <v>0</v>
      </c>
      <c r="H85" s="71"/>
      <c r="I85" s="71"/>
      <c r="J85" s="71"/>
      <c r="K85" s="71">
        <f t="shared" si="26"/>
        <v>0</v>
      </c>
      <c r="L85" s="71"/>
      <c r="M85" s="71"/>
      <c r="N85" s="71"/>
      <c r="O85" s="71">
        <f t="shared" si="31"/>
        <v>0</v>
      </c>
      <c r="P85" s="71"/>
      <c r="Q85" s="71"/>
      <c r="R85" s="71"/>
      <c r="S85" s="416">
        <f t="shared" si="32"/>
        <v>0</v>
      </c>
      <c r="T85" s="228" t="s">
        <v>257</v>
      </c>
      <c r="U85" s="228"/>
      <c r="V85" s="416"/>
      <c r="W85" s="416">
        <f t="shared" si="27"/>
        <v>0</v>
      </c>
      <c r="X85" s="416">
        <f t="shared" si="33"/>
        <v>0</v>
      </c>
      <c r="Y85" s="35"/>
    </row>
    <row r="86" spans="1:26">
      <c r="A86" s="32"/>
      <c r="B86" s="33"/>
      <c r="C86" s="228"/>
      <c r="D86" s="228"/>
      <c r="E86" s="228"/>
      <c r="F86" s="37"/>
      <c r="G86" s="71">
        <f t="shared" si="25"/>
        <v>0</v>
      </c>
      <c r="H86" s="71"/>
      <c r="I86" s="71"/>
      <c r="J86" s="71"/>
      <c r="K86" s="71">
        <f t="shared" si="26"/>
        <v>0</v>
      </c>
      <c r="L86" s="71"/>
      <c r="M86" s="71"/>
      <c r="N86" s="71"/>
      <c r="O86" s="71">
        <f t="shared" si="31"/>
        <v>0</v>
      </c>
      <c r="P86" s="71"/>
      <c r="Q86" s="71"/>
      <c r="R86" s="71"/>
      <c r="S86" s="416">
        <f t="shared" si="32"/>
        <v>0</v>
      </c>
      <c r="T86" s="228" t="s">
        <v>257</v>
      </c>
      <c r="U86" s="228"/>
      <c r="V86" s="416"/>
      <c r="W86" s="416">
        <f t="shared" si="27"/>
        <v>0</v>
      </c>
      <c r="X86" s="416">
        <f t="shared" si="33"/>
        <v>0</v>
      </c>
      <c r="Y86" s="35"/>
    </row>
    <row r="87" spans="1:26" s="22" customFormat="1" ht="45" customHeight="1">
      <c r="A87" s="43">
        <v>7</v>
      </c>
      <c r="B87" s="44" t="s">
        <v>281</v>
      </c>
      <c r="C87" s="45" t="s">
        <v>297</v>
      </c>
      <c r="D87" s="45"/>
      <c r="E87" s="45"/>
      <c r="F87" s="48"/>
      <c r="G87" s="414">
        <f>SUM(G88:G97)</f>
        <v>0</v>
      </c>
      <c r="H87" s="414"/>
      <c r="I87" s="414"/>
      <c r="J87" s="414"/>
      <c r="K87" s="414">
        <f>SUM(K88:K97)</f>
        <v>0</v>
      </c>
      <c r="L87" s="414"/>
      <c r="M87" s="414"/>
      <c r="N87" s="414"/>
      <c r="O87" s="414">
        <f>SUM(O88:O97)</f>
        <v>0</v>
      </c>
      <c r="P87" s="414"/>
      <c r="Q87" s="414"/>
      <c r="R87" s="414"/>
      <c r="S87" s="414">
        <f>SUM(S88:S97)</f>
        <v>0</v>
      </c>
      <c r="T87" s="414"/>
      <c r="U87" s="414"/>
      <c r="V87" s="414"/>
      <c r="W87" s="414">
        <f>SUM(W88:W97)</f>
        <v>0</v>
      </c>
      <c r="X87" s="414">
        <f>SUM(X88:X97)</f>
        <v>0</v>
      </c>
      <c r="Y87" s="415"/>
      <c r="Z87" s="50"/>
    </row>
    <row r="88" spans="1:26" s="22" customFormat="1" ht="13">
      <c r="A88" s="56"/>
      <c r="B88" s="33"/>
      <c r="C88" s="228"/>
      <c r="D88" s="228" t="s">
        <v>257</v>
      </c>
      <c r="E88" s="228"/>
      <c r="F88" s="37"/>
      <c r="G88" s="71">
        <f>E88*F88</f>
        <v>0</v>
      </c>
      <c r="H88" s="228" t="s">
        <v>257</v>
      </c>
      <c r="I88" s="228"/>
      <c r="J88" s="37"/>
      <c r="K88" s="71">
        <f t="shared" si="26"/>
        <v>0</v>
      </c>
      <c r="L88" s="228" t="s">
        <v>257</v>
      </c>
      <c r="M88" s="228"/>
      <c r="N88" s="37"/>
      <c r="O88" s="71">
        <f>M88*N88*1.04</f>
        <v>0</v>
      </c>
      <c r="P88" s="228" t="s">
        <v>257</v>
      </c>
      <c r="Q88" s="228"/>
      <c r="R88" s="37"/>
      <c r="S88" s="416">
        <f>Q88*R88*1.04</f>
        <v>0</v>
      </c>
      <c r="T88" s="228" t="s">
        <v>257</v>
      </c>
      <c r="U88" s="228"/>
      <c r="V88" s="37"/>
      <c r="W88" s="416">
        <f t="shared" si="27"/>
        <v>0</v>
      </c>
      <c r="X88" s="416">
        <f>SUM(G88,K88,O88,S88,W88)</f>
        <v>0</v>
      </c>
      <c r="Y88" s="57"/>
    </row>
    <row r="89" spans="1:26" s="22" customFormat="1" ht="13">
      <c r="A89" s="56"/>
      <c r="B89" s="33"/>
      <c r="C89" s="228"/>
      <c r="D89" s="228" t="s">
        <v>257</v>
      </c>
      <c r="E89" s="228"/>
      <c r="F89" s="37"/>
      <c r="G89" s="71">
        <f t="shared" ref="G89:G95" si="34">E89*F89</f>
        <v>0</v>
      </c>
      <c r="H89" s="228" t="s">
        <v>257</v>
      </c>
      <c r="I89" s="228"/>
      <c r="J89" s="37"/>
      <c r="K89" s="71">
        <f t="shared" si="26"/>
        <v>0</v>
      </c>
      <c r="L89" s="228" t="s">
        <v>257</v>
      </c>
      <c r="M89" s="228"/>
      <c r="N89" s="37"/>
      <c r="O89" s="71">
        <f t="shared" ref="O89:O95" si="35">M89*N89*1.04</f>
        <v>0</v>
      </c>
      <c r="P89" s="228" t="s">
        <v>257</v>
      </c>
      <c r="Q89" s="228"/>
      <c r="R89" s="37"/>
      <c r="S89" s="416">
        <f t="shared" ref="S89:S95" si="36">Q89*R89*1.04</f>
        <v>0</v>
      </c>
      <c r="T89" s="228" t="s">
        <v>257</v>
      </c>
      <c r="U89" s="228"/>
      <c r="V89" s="37"/>
      <c r="W89" s="416">
        <f t="shared" si="27"/>
        <v>0</v>
      </c>
      <c r="X89" s="416">
        <f t="shared" ref="X89:X95" si="37">SUM(G89,K89,O89,S89,W89)</f>
        <v>0</v>
      </c>
      <c r="Y89" s="57"/>
    </row>
    <row r="90" spans="1:26" s="22" customFormat="1" ht="13">
      <c r="A90" s="56"/>
      <c r="B90" s="33"/>
      <c r="C90" s="289"/>
      <c r="D90" s="228" t="s">
        <v>257</v>
      </c>
      <c r="E90" s="228"/>
      <c r="F90" s="37"/>
      <c r="G90" s="71">
        <f t="shared" si="34"/>
        <v>0</v>
      </c>
      <c r="H90" s="228" t="s">
        <v>257</v>
      </c>
      <c r="I90" s="228"/>
      <c r="J90" s="37"/>
      <c r="K90" s="71">
        <f t="shared" si="26"/>
        <v>0</v>
      </c>
      <c r="L90" s="228" t="s">
        <v>257</v>
      </c>
      <c r="M90" s="228"/>
      <c r="N90" s="37"/>
      <c r="O90" s="71">
        <f t="shared" si="35"/>
        <v>0</v>
      </c>
      <c r="P90" s="228" t="s">
        <v>257</v>
      </c>
      <c r="Q90" s="228"/>
      <c r="R90" s="37"/>
      <c r="S90" s="416">
        <f t="shared" si="36"/>
        <v>0</v>
      </c>
      <c r="T90" s="228" t="s">
        <v>257</v>
      </c>
      <c r="U90" s="228"/>
      <c r="V90" s="37"/>
      <c r="W90" s="416">
        <f t="shared" si="27"/>
        <v>0</v>
      </c>
      <c r="X90" s="416">
        <f t="shared" si="37"/>
        <v>0</v>
      </c>
      <c r="Y90" s="57"/>
    </row>
    <row r="91" spans="1:26" s="22" customFormat="1" ht="13">
      <c r="A91" s="56"/>
      <c r="B91" s="33"/>
      <c r="C91" s="289"/>
      <c r="D91" s="289"/>
      <c r="E91" s="289"/>
      <c r="F91" s="37"/>
      <c r="G91" s="71">
        <f t="shared" si="34"/>
        <v>0</v>
      </c>
      <c r="H91" s="71"/>
      <c r="I91" s="71"/>
      <c r="J91" s="71"/>
      <c r="K91" s="71">
        <f t="shared" si="26"/>
        <v>0</v>
      </c>
      <c r="L91" s="71"/>
      <c r="M91" s="71"/>
      <c r="N91" s="71"/>
      <c r="O91" s="71">
        <f t="shared" si="35"/>
        <v>0</v>
      </c>
      <c r="P91" s="71"/>
      <c r="Q91" s="71"/>
      <c r="R91" s="71"/>
      <c r="S91" s="416">
        <f t="shared" si="36"/>
        <v>0</v>
      </c>
      <c r="T91" s="416"/>
      <c r="U91" s="416"/>
      <c r="V91" s="416"/>
      <c r="W91" s="416">
        <f t="shared" si="27"/>
        <v>0</v>
      </c>
      <c r="X91" s="416">
        <f t="shared" si="37"/>
        <v>0</v>
      </c>
      <c r="Y91" s="57"/>
    </row>
    <row r="92" spans="1:26">
      <c r="A92" s="32"/>
      <c r="B92" s="33"/>
      <c r="C92" s="289"/>
      <c r="D92" s="289"/>
      <c r="E92" s="289"/>
      <c r="F92" s="37"/>
      <c r="G92" s="71">
        <f t="shared" si="34"/>
        <v>0</v>
      </c>
      <c r="H92" s="71"/>
      <c r="I92" s="71"/>
      <c r="J92" s="71"/>
      <c r="K92" s="71">
        <f t="shared" si="26"/>
        <v>0</v>
      </c>
      <c r="L92" s="71"/>
      <c r="M92" s="71"/>
      <c r="N92" s="71"/>
      <c r="O92" s="71">
        <f t="shared" si="35"/>
        <v>0</v>
      </c>
      <c r="P92" s="71"/>
      <c r="Q92" s="71"/>
      <c r="R92" s="71"/>
      <c r="S92" s="416">
        <f t="shared" si="36"/>
        <v>0</v>
      </c>
      <c r="T92" s="416"/>
      <c r="U92" s="416"/>
      <c r="V92" s="416"/>
      <c r="W92" s="416">
        <f t="shared" si="27"/>
        <v>0</v>
      </c>
      <c r="X92" s="416">
        <f t="shared" si="37"/>
        <v>0</v>
      </c>
      <c r="Y92" s="35"/>
    </row>
    <row r="93" spans="1:26">
      <c r="A93" s="32"/>
      <c r="B93" s="33"/>
      <c r="C93" s="289"/>
      <c r="D93" s="289"/>
      <c r="E93" s="289"/>
      <c r="F93" s="37"/>
      <c r="G93" s="71">
        <f t="shared" si="34"/>
        <v>0</v>
      </c>
      <c r="H93" s="71"/>
      <c r="I93" s="71"/>
      <c r="J93" s="71"/>
      <c r="K93" s="71">
        <f t="shared" si="26"/>
        <v>0</v>
      </c>
      <c r="L93" s="71"/>
      <c r="M93" s="71"/>
      <c r="N93" s="71"/>
      <c r="O93" s="71">
        <f t="shared" si="35"/>
        <v>0</v>
      </c>
      <c r="P93" s="71"/>
      <c r="Q93" s="71"/>
      <c r="R93" s="71"/>
      <c r="S93" s="416">
        <f t="shared" si="36"/>
        <v>0</v>
      </c>
      <c r="T93" s="416"/>
      <c r="U93" s="416"/>
      <c r="V93" s="416"/>
      <c r="W93" s="416">
        <f t="shared" si="27"/>
        <v>0</v>
      </c>
      <c r="X93" s="416">
        <f t="shared" si="37"/>
        <v>0</v>
      </c>
      <c r="Y93" s="35"/>
    </row>
    <row r="94" spans="1:26">
      <c r="A94" s="32"/>
      <c r="B94" s="33"/>
      <c r="C94" s="289"/>
      <c r="D94" s="289"/>
      <c r="E94" s="289"/>
      <c r="F94" s="37"/>
      <c r="G94" s="71">
        <f t="shared" si="34"/>
        <v>0</v>
      </c>
      <c r="H94" s="71"/>
      <c r="I94" s="71"/>
      <c r="J94" s="71"/>
      <c r="K94" s="71">
        <f t="shared" si="26"/>
        <v>0</v>
      </c>
      <c r="L94" s="71"/>
      <c r="M94" s="71"/>
      <c r="N94" s="71"/>
      <c r="O94" s="71">
        <f t="shared" si="35"/>
        <v>0</v>
      </c>
      <c r="P94" s="71"/>
      <c r="Q94" s="71"/>
      <c r="R94" s="71"/>
      <c r="S94" s="416">
        <f t="shared" si="36"/>
        <v>0</v>
      </c>
      <c r="T94" s="416"/>
      <c r="U94" s="416"/>
      <c r="V94" s="416"/>
      <c r="W94" s="416">
        <f t="shared" si="27"/>
        <v>0</v>
      </c>
      <c r="X94" s="416">
        <f t="shared" si="37"/>
        <v>0</v>
      </c>
      <c r="Y94" s="35"/>
    </row>
    <row r="95" spans="1:26" s="22" customFormat="1" ht="13.5" thickBot="1">
      <c r="A95" s="56"/>
      <c r="B95" s="33"/>
      <c r="C95" s="289"/>
      <c r="D95" s="289"/>
      <c r="E95" s="289"/>
      <c r="F95" s="37"/>
      <c r="G95" s="71">
        <f t="shared" si="34"/>
        <v>0</v>
      </c>
      <c r="H95" s="71"/>
      <c r="I95" s="71"/>
      <c r="J95" s="71"/>
      <c r="K95" s="71">
        <f t="shared" si="26"/>
        <v>0</v>
      </c>
      <c r="L95" s="71"/>
      <c r="M95" s="71"/>
      <c r="N95" s="71"/>
      <c r="O95" s="71">
        <f t="shared" si="35"/>
        <v>0</v>
      </c>
      <c r="P95" s="71"/>
      <c r="Q95" s="71"/>
      <c r="R95" s="71"/>
      <c r="S95" s="416">
        <f t="shared" si="36"/>
        <v>0</v>
      </c>
      <c r="T95" s="416"/>
      <c r="U95" s="416"/>
      <c r="V95" s="416"/>
      <c r="W95" s="416">
        <f t="shared" si="27"/>
        <v>0</v>
      </c>
      <c r="X95" s="416">
        <f t="shared" si="37"/>
        <v>0</v>
      </c>
      <c r="Y95" s="57"/>
    </row>
    <row r="96" spans="1:26" s="22" customFormat="1" ht="13.5" hidden="1" thickBot="1">
      <c r="A96" s="56"/>
      <c r="B96" s="58"/>
      <c r="C96" s="228"/>
      <c r="D96" s="228"/>
      <c r="E96" s="228"/>
      <c r="F96" s="55"/>
      <c r="G96" s="71">
        <v>0</v>
      </c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416">
        <f t="shared" ref="S96:S97" si="38">Q96*R96</f>
        <v>0</v>
      </c>
      <c r="T96" s="416"/>
      <c r="U96" s="416"/>
      <c r="V96" s="416"/>
      <c r="W96" s="416"/>
      <c r="X96" s="416">
        <f>G96+S96</f>
        <v>0</v>
      </c>
      <c r="Y96" s="57"/>
    </row>
    <row r="97" spans="1:26" s="22" customFormat="1" ht="13.5" hidden="1" thickBot="1">
      <c r="A97" s="56"/>
      <c r="B97" s="58"/>
      <c r="C97" s="228"/>
      <c r="D97" s="228"/>
      <c r="E97" s="228"/>
      <c r="F97" s="55">
        <v>0</v>
      </c>
      <c r="G97" s="71">
        <v>0</v>
      </c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416">
        <f t="shared" si="38"/>
        <v>0</v>
      </c>
      <c r="T97" s="416"/>
      <c r="U97" s="416"/>
      <c r="V97" s="416"/>
      <c r="W97" s="416"/>
      <c r="X97" s="416">
        <f>G97+S97</f>
        <v>0</v>
      </c>
      <c r="Y97" s="57"/>
    </row>
    <row r="98" spans="1:26" ht="28" customHeight="1" thickBot="1">
      <c r="A98" s="473" t="s">
        <v>55</v>
      </c>
      <c r="B98" s="474"/>
      <c r="C98" s="475"/>
      <c r="D98" s="452"/>
      <c r="E98" s="452"/>
      <c r="F98" s="438"/>
      <c r="G98" s="438">
        <f>SUM(G15,G38)</f>
        <v>0</v>
      </c>
      <c r="H98" s="438"/>
      <c r="I98" s="438"/>
      <c r="J98" s="438"/>
      <c r="K98" s="438">
        <f>SUM(K15,K38)</f>
        <v>0</v>
      </c>
      <c r="L98" s="438"/>
      <c r="M98" s="438"/>
      <c r="N98" s="438"/>
      <c r="O98" s="438">
        <f>SUM(O15,O38)</f>
        <v>0</v>
      </c>
      <c r="P98" s="438"/>
      <c r="Q98" s="438"/>
      <c r="R98" s="438"/>
      <c r="S98" s="438">
        <f>SUM(S15,S38)</f>
        <v>0</v>
      </c>
      <c r="T98" s="438"/>
      <c r="U98" s="438"/>
      <c r="V98" s="438"/>
      <c r="W98" s="438"/>
      <c r="X98" s="438">
        <f>SUM(X15,X38)</f>
        <v>0</v>
      </c>
      <c r="Y98" s="439"/>
      <c r="Z98" s="442"/>
    </row>
  </sheetData>
  <mergeCells count="15">
    <mergeCell ref="A98:C98"/>
    <mergeCell ref="A1:Y1"/>
    <mergeCell ref="C5:F5"/>
    <mergeCell ref="A7:B7"/>
    <mergeCell ref="AG7:AI7"/>
    <mergeCell ref="A12:A13"/>
    <mergeCell ref="B12:B13"/>
    <mergeCell ref="C12:C13"/>
    <mergeCell ref="D12:G12"/>
    <mergeCell ref="H12:K12"/>
    <mergeCell ref="L12:O12"/>
    <mergeCell ref="P12:S12"/>
    <mergeCell ref="T12:W12"/>
    <mergeCell ref="X12:X13"/>
    <mergeCell ref="Y12:Y13"/>
  </mergeCells>
  <printOptions horizontalCentered="1"/>
  <pageMargins left="0.2" right="0.2" top="0.5" bottom="0.5" header="0.3" footer="0.3"/>
  <pageSetup paperSize="9" scale="90" orientation="landscape" errors="dash" r:id="rId1"/>
  <headerFooter>
    <oddFooter>Page &amp;P of &amp;N</oddFooter>
  </headerFooter>
  <rowBreaks count="2" manualBreakCount="2">
    <brk id="49" max="9" man="1"/>
    <brk id="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R127"/>
  <sheetViews>
    <sheetView showGridLines="0" view="pageBreakPreview" topLeftCell="F85" zoomScale="80" zoomScaleNormal="98" zoomScaleSheetLayoutView="80" workbookViewId="0">
      <selection activeCell="Q99" sqref="Q99"/>
    </sheetView>
  </sheetViews>
  <sheetFormatPr defaultColWidth="9.1796875" defaultRowHeight="13"/>
  <cols>
    <col min="1" max="1" width="5.81640625" style="15" customWidth="1"/>
    <col min="2" max="2" width="12.1796875" style="15" customWidth="1"/>
    <col min="3" max="3" width="44.54296875" style="17" customWidth="1"/>
    <col min="4" max="4" width="17" style="264" customWidth="1"/>
    <col min="5" max="5" width="11.7265625" style="17" customWidth="1"/>
    <col min="6" max="6" width="16.81640625" style="17" customWidth="1"/>
    <col min="7" max="7" width="11.36328125" style="259" customWidth="1"/>
    <col min="8" max="8" width="10.6328125" style="65" customWidth="1"/>
    <col min="9" max="9" width="10.453125" style="22" bestFit="1" customWidth="1"/>
    <col min="10" max="10" width="11.1796875" style="22" bestFit="1" customWidth="1"/>
    <col min="11" max="11" width="13.6328125" style="22" bestFit="1" customWidth="1"/>
    <col min="12" max="12" width="10.7265625" style="22" customWidth="1"/>
    <col min="13" max="13" width="9.81640625" style="22" customWidth="1"/>
    <col min="14" max="14" width="12" style="22" bestFit="1" customWidth="1"/>
    <col min="15" max="15" width="11.453125" style="22" bestFit="1" customWidth="1"/>
    <col min="16" max="16" width="13.6328125" style="22" bestFit="1" customWidth="1"/>
    <col min="17" max="17" width="22.1796875" style="17" customWidth="1"/>
    <col min="18" max="18" width="12.26953125" style="17" customWidth="1"/>
    <col min="19" max="16384" width="9.1796875" style="17"/>
  </cols>
  <sheetData>
    <row r="1" spans="1:18" ht="23" hidden="1">
      <c r="B1" s="489" t="s">
        <v>117</v>
      </c>
      <c r="C1" s="489"/>
      <c r="D1" s="489"/>
      <c r="E1" s="258"/>
      <c r="F1" s="16"/>
      <c r="I1" s="494"/>
      <c r="J1" s="494"/>
      <c r="K1" s="494"/>
      <c r="L1" s="494"/>
      <c r="M1" s="494"/>
      <c r="N1" s="494"/>
      <c r="O1" s="16"/>
      <c r="P1" s="16"/>
      <c r="Q1" s="16"/>
    </row>
    <row r="2" spans="1:18" hidden="1">
      <c r="B2" s="16"/>
      <c r="C2" s="16"/>
      <c r="D2" s="260"/>
      <c r="E2" s="16"/>
      <c r="F2" s="16"/>
      <c r="I2" s="18"/>
      <c r="J2" s="18"/>
      <c r="K2" s="18"/>
      <c r="L2" s="16"/>
      <c r="M2" s="16"/>
      <c r="N2" s="16"/>
      <c r="O2" s="16"/>
      <c r="P2" s="16"/>
      <c r="Q2" s="16"/>
    </row>
    <row r="3" spans="1:18" ht="38.5" customHeight="1">
      <c r="A3" s="19" t="s">
        <v>24</v>
      </c>
      <c r="B3" s="19"/>
      <c r="C3" s="20" t="s">
        <v>91</v>
      </c>
      <c r="D3" s="21"/>
      <c r="E3" s="263"/>
      <c r="F3" s="98"/>
      <c r="G3" s="318"/>
      <c r="H3" s="498" t="s">
        <v>241</v>
      </c>
      <c r="I3" s="498"/>
      <c r="J3" s="85" t="e">
        <f>H3/C7</f>
        <v>#VALUE!</v>
      </c>
      <c r="K3" s="83"/>
      <c r="L3" s="83"/>
      <c r="M3" s="83"/>
      <c r="N3" s="21"/>
      <c r="O3" s="21"/>
      <c r="P3" s="21"/>
    </row>
    <row r="4" spans="1:18" ht="27" customHeight="1">
      <c r="A4" s="22" t="s">
        <v>115</v>
      </c>
      <c r="B4" s="22"/>
      <c r="C4" s="59" t="s">
        <v>116</v>
      </c>
      <c r="D4" s="21"/>
      <c r="E4" s="371"/>
      <c r="F4" s="23"/>
      <c r="I4" s="84">
        <f>SUM(P13,P20)</f>
        <v>4323735.3049999997</v>
      </c>
      <c r="J4" s="85">
        <f>I4/C7</f>
        <v>0.3817430860511114</v>
      </c>
      <c r="K4" s="83"/>
      <c r="L4" s="86"/>
      <c r="M4" s="83"/>
      <c r="N4" s="63"/>
      <c r="O4" s="63"/>
      <c r="P4" s="21"/>
    </row>
    <row r="5" spans="1:18" ht="19" customHeight="1">
      <c r="A5" s="22" t="s">
        <v>43</v>
      </c>
      <c r="B5" s="22"/>
      <c r="C5" s="256" t="s">
        <v>44</v>
      </c>
      <c r="E5" s="264"/>
      <c r="F5" s="23"/>
      <c r="G5" s="23"/>
      <c r="H5" s="66"/>
      <c r="I5" s="83"/>
      <c r="J5" s="83"/>
      <c r="K5" s="83"/>
      <c r="L5" s="87"/>
      <c r="M5" s="83"/>
      <c r="N5" s="64"/>
      <c r="O5" s="21"/>
    </row>
    <row r="6" spans="1:18" ht="20" customHeight="1">
      <c r="A6" s="22" t="s">
        <v>42</v>
      </c>
      <c r="B6" s="22"/>
      <c r="C6" s="389" t="s">
        <v>92</v>
      </c>
      <c r="E6" s="371"/>
      <c r="H6" s="67"/>
      <c r="I6" s="83"/>
      <c r="J6" s="83"/>
      <c r="K6" s="88"/>
      <c r="L6" s="89"/>
      <c r="M6" s="88">
        <f>7</f>
        <v>7</v>
      </c>
      <c r="N6" s="21"/>
      <c r="O6" s="21"/>
    </row>
    <row r="7" spans="1:18" ht="11.5" customHeight="1">
      <c r="A7" s="22" t="s">
        <v>48</v>
      </c>
      <c r="B7" s="22"/>
      <c r="C7" s="73">
        <f>P92</f>
        <v>11326296.305</v>
      </c>
      <c r="E7" s="372"/>
      <c r="F7" s="107"/>
      <c r="I7" s="90"/>
      <c r="J7" s="255"/>
      <c r="K7" s="492"/>
      <c r="L7" s="493"/>
      <c r="M7" s="493"/>
      <c r="N7" s="21"/>
      <c r="O7" s="21"/>
    </row>
    <row r="8" spans="1:18" ht="17.5" customHeight="1">
      <c r="A8" s="22" t="s">
        <v>49</v>
      </c>
      <c r="B8" s="22"/>
      <c r="C8" s="76" t="s">
        <v>93</v>
      </c>
      <c r="D8" s="25"/>
      <c r="E8" s="371"/>
      <c r="F8" s="102"/>
      <c r="I8" s="91"/>
      <c r="J8" s="385">
        <v>3.5000000000000003E-2</v>
      </c>
      <c r="K8" s="91"/>
      <c r="L8" s="91"/>
      <c r="M8" s="91"/>
      <c r="N8" s="24"/>
      <c r="O8" s="24"/>
      <c r="P8" s="25"/>
    </row>
    <row r="9" spans="1:18" ht="8" customHeight="1">
      <c r="A9" s="21"/>
      <c r="B9" s="22"/>
      <c r="C9" s="60"/>
      <c r="D9" s="25"/>
      <c r="F9" s="237"/>
      <c r="I9" s="91"/>
      <c r="J9" s="92">
        <v>1.0349999999999999</v>
      </c>
      <c r="K9" s="91"/>
      <c r="L9" s="91"/>
      <c r="M9" s="91"/>
      <c r="N9" s="24"/>
      <c r="O9" s="24"/>
      <c r="P9" s="25"/>
    </row>
    <row r="10" spans="1:18" ht="10" customHeight="1" thickBot="1">
      <c r="A10" s="22"/>
      <c r="B10" s="22"/>
      <c r="C10" s="82"/>
      <c r="D10" s="25"/>
      <c r="I10" s="24"/>
      <c r="J10" s="24"/>
      <c r="K10" s="24"/>
      <c r="L10" s="24"/>
      <c r="M10" s="24"/>
      <c r="N10" s="24"/>
      <c r="O10" s="24"/>
      <c r="P10" s="25"/>
    </row>
    <row r="11" spans="1:18" s="15" customFormat="1" ht="58" customHeight="1" thickBot="1">
      <c r="A11" s="239" t="s">
        <v>21</v>
      </c>
      <c r="B11" s="240" t="s">
        <v>18</v>
      </c>
      <c r="C11" s="241" t="s">
        <v>37</v>
      </c>
      <c r="D11" s="110" t="s">
        <v>227</v>
      </c>
      <c r="E11" s="110" t="s">
        <v>228</v>
      </c>
      <c r="F11" s="241" t="s">
        <v>194</v>
      </c>
      <c r="G11" s="28" t="s">
        <v>19</v>
      </c>
      <c r="H11" s="370" t="s">
        <v>229</v>
      </c>
      <c r="I11" s="495" t="s">
        <v>193</v>
      </c>
      <c r="J11" s="496"/>
      <c r="K11" s="497"/>
      <c r="L11" s="495" t="s">
        <v>248</v>
      </c>
      <c r="M11" s="496"/>
      <c r="N11" s="497"/>
      <c r="O11" s="490" t="s">
        <v>195</v>
      </c>
      <c r="P11" s="491"/>
      <c r="Q11" s="242" t="s">
        <v>16</v>
      </c>
    </row>
    <row r="12" spans="1:18" ht="13.5" customHeight="1" thickBot="1">
      <c r="A12" s="249">
        <v>1</v>
      </c>
      <c r="B12" s="250"/>
      <c r="C12" s="251" t="s">
        <v>45</v>
      </c>
      <c r="D12" s="390" t="s">
        <v>127</v>
      </c>
      <c r="E12" s="373" t="s">
        <v>128</v>
      </c>
      <c r="F12" s="252" t="s">
        <v>129</v>
      </c>
      <c r="G12" s="338" t="s">
        <v>31</v>
      </c>
      <c r="H12" s="253"/>
      <c r="I12" s="253" t="s">
        <v>51</v>
      </c>
      <c r="J12" s="253" t="s">
        <v>36</v>
      </c>
      <c r="K12" s="253" t="s">
        <v>35</v>
      </c>
      <c r="L12" s="253" t="s">
        <v>51</v>
      </c>
      <c r="M12" s="253" t="s">
        <v>36</v>
      </c>
      <c r="N12" s="253" t="s">
        <v>35</v>
      </c>
      <c r="O12" s="253" t="s">
        <v>34</v>
      </c>
      <c r="P12" s="253" t="s">
        <v>35</v>
      </c>
      <c r="Q12" s="254"/>
      <c r="R12" s="31"/>
    </row>
    <row r="13" spans="1:18" s="22" customFormat="1" ht="21.65" customHeight="1">
      <c r="A13" s="243"/>
      <c r="B13" s="244" t="s">
        <v>94</v>
      </c>
      <c r="C13" s="245" t="s">
        <v>29</v>
      </c>
      <c r="D13" s="247">
        <f>SUM(D14:D18)</f>
        <v>3123823.25</v>
      </c>
      <c r="E13" s="48"/>
      <c r="F13" s="247">
        <f>SUM(F14:F18)</f>
        <v>1042867</v>
      </c>
      <c r="G13" s="46"/>
      <c r="H13" s="70"/>
      <c r="I13" s="246"/>
      <c r="J13" s="246"/>
      <c r="K13" s="247">
        <f>SUM(K14:K18)</f>
        <v>1184175</v>
      </c>
      <c r="L13" s="246"/>
      <c r="M13" s="246"/>
      <c r="N13" s="247">
        <f>SUM(N14:N18)</f>
        <v>1251331.125</v>
      </c>
      <c r="O13" s="246"/>
      <c r="P13" s="247">
        <f>SUM(P14:P18)</f>
        <v>3478373.125</v>
      </c>
      <c r="Q13" s="248"/>
      <c r="R13" s="50"/>
    </row>
    <row r="14" spans="1:18" ht="12.5">
      <c r="A14" s="32"/>
      <c r="B14" s="33"/>
      <c r="C14" s="36" t="s">
        <v>90</v>
      </c>
      <c r="D14" s="37">
        <v>1644117.5</v>
      </c>
      <c r="E14" s="37">
        <v>15</v>
      </c>
      <c r="F14" s="238">
        <v>585000</v>
      </c>
      <c r="G14" s="343" t="s">
        <v>31</v>
      </c>
      <c r="H14" s="68">
        <v>50000</v>
      </c>
      <c r="I14" s="37">
        <v>11</v>
      </c>
      <c r="J14" s="37">
        <f>H14+H14*$J$8</f>
        <v>51750</v>
      </c>
      <c r="K14" s="37">
        <f>J14*I14</f>
        <v>569250</v>
      </c>
      <c r="L14" s="37">
        <v>11</v>
      </c>
      <c r="M14" s="37">
        <f>J14*$J$9</f>
        <v>53561.249999999993</v>
      </c>
      <c r="N14" s="37">
        <f>M14*L14</f>
        <v>589173.74999999988</v>
      </c>
      <c r="O14" s="34">
        <f>E14+I14+L14</f>
        <v>37</v>
      </c>
      <c r="P14" s="37">
        <f>F14+K14+N14</f>
        <v>1743423.75</v>
      </c>
      <c r="Q14" s="35"/>
      <c r="R14" s="31"/>
    </row>
    <row r="15" spans="1:18" ht="25">
      <c r="A15" s="32"/>
      <c r="B15" s="33"/>
      <c r="C15" s="36" t="s">
        <v>239</v>
      </c>
      <c r="D15" s="37">
        <v>0</v>
      </c>
      <c r="E15" s="37">
        <v>0</v>
      </c>
      <c r="F15" s="238">
        <v>0</v>
      </c>
      <c r="G15" s="343" t="s">
        <v>31</v>
      </c>
      <c r="H15" s="68">
        <v>0</v>
      </c>
      <c r="I15" s="37">
        <v>8</v>
      </c>
      <c r="J15" s="37">
        <v>12000</v>
      </c>
      <c r="K15" s="37">
        <f>J15*I15</f>
        <v>96000</v>
      </c>
      <c r="L15" s="37">
        <v>11</v>
      </c>
      <c r="M15" s="37">
        <f>J15*$J$9</f>
        <v>12419.999999999998</v>
      </c>
      <c r="N15" s="37">
        <f>M15*L15</f>
        <v>136619.99999999997</v>
      </c>
      <c r="O15" s="34">
        <f>E15+I15+L15</f>
        <v>19</v>
      </c>
      <c r="P15" s="37">
        <f>F15+K15+N15</f>
        <v>232619.99999999997</v>
      </c>
      <c r="Q15" s="35"/>
      <c r="R15" s="31"/>
    </row>
    <row r="16" spans="1:18" ht="12.5">
      <c r="A16" s="32"/>
      <c r="B16" s="33"/>
      <c r="C16" s="36" t="s">
        <v>237</v>
      </c>
      <c r="D16" s="37">
        <v>164411.75</v>
      </c>
      <c r="E16" s="37">
        <v>15</v>
      </c>
      <c r="F16" s="238">
        <v>65000</v>
      </c>
      <c r="G16" s="343" t="s">
        <v>31</v>
      </c>
      <c r="H16" s="68">
        <v>5000</v>
      </c>
      <c r="I16" s="37">
        <v>11</v>
      </c>
      <c r="J16" s="37">
        <f>H16+H16*$J$8</f>
        <v>5175</v>
      </c>
      <c r="K16" s="37">
        <f>J16*I16</f>
        <v>56925</v>
      </c>
      <c r="L16" s="37">
        <v>11</v>
      </c>
      <c r="M16" s="37">
        <f>J16*$J$9</f>
        <v>5356.125</v>
      </c>
      <c r="N16" s="37">
        <f>M16*L16</f>
        <v>58917.375</v>
      </c>
      <c r="O16" s="34">
        <f>E16+I16+L16</f>
        <v>37</v>
      </c>
      <c r="P16" s="37">
        <f>F16+K16+N16</f>
        <v>180842.375</v>
      </c>
      <c r="Q16" s="35"/>
      <c r="R16" s="31"/>
    </row>
    <row r="17" spans="1:18" ht="25">
      <c r="A17" s="32"/>
      <c r="B17" s="33"/>
      <c r="C17" s="190" t="s">
        <v>246</v>
      </c>
      <c r="D17" s="37">
        <v>986470.5</v>
      </c>
      <c r="E17" s="37">
        <v>15</v>
      </c>
      <c r="F17" s="238">
        <v>343000</v>
      </c>
      <c r="G17" s="343" t="s">
        <v>31</v>
      </c>
      <c r="H17" s="68">
        <v>30000</v>
      </c>
      <c r="I17" s="37">
        <v>11</v>
      </c>
      <c r="J17" s="68">
        <v>30000</v>
      </c>
      <c r="K17" s="37">
        <f>J17*I17</f>
        <v>330000</v>
      </c>
      <c r="L17" s="37">
        <v>11</v>
      </c>
      <c r="M17" s="68">
        <v>30000</v>
      </c>
      <c r="N17" s="37">
        <f>M17*L17</f>
        <v>330000</v>
      </c>
      <c r="O17" s="34">
        <f>E17+I17+L17</f>
        <v>37</v>
      </c>
      <c r="P17" s="37">
        <f>F17+K17+N17</f>
        <v>1003000</v>
      </c>
      <c r="Q17" s="35"/>
      <c r="R17" s="31"/>
    </row>
    <row r="18" spans="1:18" ht="12.5">
      <c r="A18" s="32"/>
      <c r="B18" s="33"/>
      <c r="C18" s="36" t="s">
        <v>25</v>
      </c>
      <c r="D18" s="37">
        <v>328823.5</v>
      </c>
      <c r="E18" s="37">
        <v>15</v>
      </c>
      <c r="F18" s="238">
        <v>49867</v>
      </c>
      <c r="G18" s="343" t="s">
        <v>31</v>
      </c>
      <c r="H18" s="68">
        <v>10000</v>
      </c>
      <c r="I18" s="37">
        <v>11</v>
      </c>
      <c r="J18" s="37">
        <v>12000</v>
      </c>
      <c r="K18" s="37">
        <f>J18*I18</f>
        <v>132000</v>
      </c>
      <c r="L18" s="37">
        <v>11</v>
      </c>
      <c r="M18" s="37">
        <f>J18*$J$9</f>
        <v>12419.999999999998</v>
      </c>
      <c r="N18" s="37">
        <f>M18*L18</f>
        <v>136619.99999999997</v>
      </c>
      <c r="O18" s="34">
        <f>E18+I18+L18</f>
        <v>37</v>
      </c>
      <c r="P18" s="37">
        <f>F18+K18+N18</f>
        <v>318487</v>
      </c>
      <c r="Q18" s="35"/>
      <c r="R18" s="31"/>
    </row>
    <row r="19" spans="1:18" ht="12.5">
      <c r="A19" s="32"/>
      <c r="B19" s="33"/>
      <c r="C19" s="36"/>
      <c r="D19" s="37"/>
      <c r="E19" s="37"/>
      <c r="F19" s="36"/>
      <c r="G19" s="343"/>
      <c r="H19" s="68"/>
      <c r="I19" s="34"/>
      <c r="J19" s="34"/>
      <c r="K19" s="34"/>
      <c r="L19" s="34"/>
      <c r="M19" s="34"/>
      <c r="N19" s="34"/>
      <c r="O19" s="34"/>
      <c r="P19" s="37"/>
      <c r="Q19" s="35"/>
      <c r="R19" s="31"/>
    </row>
    <row r="20" spans="1:18" s="22" customFormat="1" ht="21.65" customHeight="1">
      <c r="A20" s="43"/>
      <c r="B20" s="44" t="s">
        <v>94</v>
      </c>
      <c r="C20" s="45" t="s">
        <v>30</v>
      </c>
      <c r="D20" s="48">
        <f>SUM(D21:D26)</f>
        <v>606523.32499999995</v>
      </c>
      <c r="E20" s="112"/>
      <c r="F20" s="48">
        <f>SUM(F21:F26)</f>
        <v>268737.18</v>
      </c>
      <c r="G20" s="46"/>
      <c r="H20" s="70"/>
      <c r="I20" s="47"/>
      <c r="J20" s="47"/>
      <c r="K20" s="48">
        <f>SUM(K21:K26)</f>
        <v>291000</v>
      </c>
      <c r="L20" s="47"/>
      <c r="M20" s="47"/>
      <c r="N20" s="48">
        <f>SUM(N21:N26)</f>
        <v>285625</v>
      </c>
      <c r="O20" s="47"/>
      <c r="P20" s="48">
        <f>SUM(P21:P26)</f>
        <v>845362.17999999993</v>
      </c>
      <c r="Q20" s="49"/>
      <c r="R20" s="50"/>
    </row>
    <row r="21" spans="1:18" ht="12.5">
      <c r="A21" s="32"/>
      <c r="B21" s="33"/>
      <c r="C21" s="36" t="s">
        <v>26</v>
      </c>
      <c r="D21" s="37">
        <v>308473.5</v>
      </c>
      <c r="E21" s="37">
        <v>14</v>
      </c>
      <c r="F21" s="238">
        <v>133155</v>
      </c>
      <c r="G21" s="343" t="s">
        <v>31</v>
      </c>
      <c r="H21" s="68">
        <v>10000</v>
      </c>
      <c r="I21" s="37">
        <v>10</v>
      </c>
      <c r="J21" s="37">
        <v>14600</v>
      </c>
      <c r="K21" s="37">
        <f t="shared" ref="K21:K26" si="0">J21*I21</f>
        <v>146000</v>
      </c>
      <c r="L21" s="37">
        <v>10</v>
      </c>
      <c r="M21" s="37">
        <v>14600</v>
      </c>
      <c r="N21" s="37">
        <f t="shared" ref="N21:N26" si="1">M21*L21</f>
        <v>146000</v>
      </c>
      <c r="O21" s="34">
        <f t="shared" ref="O21:O26" si="2">E21+I21+L21</f>
        <v>34</v>
      </c>
      <c r="P21" s="37">
        <f t="shared" ref="P21:P26" si="3">F21+K21+N21</f>
        <v>425155</v>
      </c>
      <c r="Q21" s="35"/>
      <c r="R21" s="31"/>
    </row>
    <row r="22" spans="1:18" ht="12.5">
      <c r="A22" s="32"/>
      <c r="B22" s="33"/>
      <c r="C22" s="36" t="s">
        <v>27</v>
      </c>
      <c r="D22" s="37">
        <v>61694.7</v>
      </c>
      <c r="E22" s="37">
        <v>14</v>
      </c>
      <c r="F22" s="238">
        <v>33043.18</v>
      </c>
      <c r="G22" s="343" t="s">
        <v>31</v>
      </c>
      <c r="H22" s="68">
        <v>2000</v>
      </c>
      <c r="I22" s="37">
        <v>10</v>
      </c>
      <c r="J22" s="37">
        <v>2500</v>
      </c>
      <c r="K22" s="37">
        <f t="shared" si="0"/>
        <v>25000</v>
      </c>
      <c r="L22" s="37">
        <v>10</v>
      </c>
      <c r="M22" s="37">
        <f>J22*$J$9</f>
        <v>2587.5</v>
      </c>
      <c r="N22" s="37">
        <f t="shared" si="1"/>
        <v>25875</v>
      </c>
      <c r="O22" s="34">
        <f t="shared" si="2"/>
        <v>34</v>
      </c>
      <c r="P22" s="37">
        <f t="shared" si="3"/>
        <v>83918.18</v>
      </c>
      <c r="Q22" s="35"/>
      <c r="R22" s="31"/>
    </row>
    <row r="23" spans="1:18" ht="12.5">
      <c r="A23" s="32"/>
      <c r="B23" s="33"/>
      <c r="C23" s="36" t="s">
        <v>63</v>
      </c>
      <c r="D23" s="37">
        <v>77118.375</v>
      </c>
      <c r="E23" s="37">
        <v>14</v>
      </c>
      <c r="F23" s="238">
        <v>35799</v>
      </c>
      <c r="G23" s="343" t="s">
        <v>31</v>
      </c>
      <c r="H23" s="68">
        <v>2500</v>
      </c>
      <c r="I23" s="37">
        <v>10</v>
      </c>
      <c r="J23" s="37">
        <v>3000</v>
      </c>
      <c r="K23" s="37">
        <f t="shared" si="0"/>
        <v>30000</v>
      </c>
      <c r="L23" s="37">
        <v>10</v>
      </c>
      <c r="M23" s="37">
        <v>3000</v>
      </c>
      <c r="N23" s="37">
        <f t="shared" si="1"/>
        <v>30000</v>
      </c>
      <c r="O23" s="34">
        <f t="shared" si="2"/>
        <v>34</v>
      </c>
      <c r="P23" s="37">
        <f t="shared" si="3"/>
        <v>95799</v>
      </c>
      <c r="Q23" s="35"/>
      <c r="R23" s="31"/>
    </row>
    <row r="24" spans="1:18" ht="12.5">
      <c r="A24" s="32"/>
      <c r="B24" s="33"/>
      <c r="C24" s="36" t="s">
        <v>38</v>
      </c>
      <c r="D24" s="37">
        <v>5000</v>
      </c>
      <c r="E24" s="37">
        <v>1</v>
      </c>
      <c r="F24" s="238">
        <v>6195</v>
      </c>
      <c r="G24" s="343" t="s">
        <v>73</v>
      </c>
      <c r="H24" s="68">
        <v>5000</v>
      </c>
      <c r="I24" s="37">
        <v>2</v>
      </c>
      <c r="J24" s="37">
        <v>4000</v>
      </c>
      <c r="K24" s="37">
        <f t="shared" si="0"/>
        <v>8000</v>
      </c>
      <c r="L24" s="37">
        <v>0</v>
      </c>
      <c r="M24" s="37"/>
      <c r="N24" s="37">
        <f t="shared" si="1"/>
        <v>0</v>
      </c>
      <c r="O24" s="34">
        <f t="shared" si="2"/>
        <v>3</v>
      </c>
      <c r="P24" s="37">
        <f t="shared" si="3"/>
        <v>14195</v>
      </c>
      <c r="Q24" s="35"/>
      <c r="R24" s="31"/>
    </row>
    <row r="25" spans="1:18" ht="12.5">
      <c r="A25" s="32"/>
      <c r="B25" s="33"/>
      <c r="C25" s="36" t="s">
        <v>28</v>
      </c>
      <c r="D25" s="37">
        <v>154236.75</v>
      </c>
      <c r="E25" s="37">
        <v>14</v>
      </c>
      <c r="F25" s="238">
        <v>60545</v>
      </c>
      <c r="G25" s="343" t="s">
        <v>31</v>
      </c>
      <c r="H25" s="68">
        <v>5000</v>
      </c>
      <c r="I25" s="37">
        <v>10</v>
      </c>
      <c r="J25" s="37">
        <f>H25</f>
        <v>5000</v>
      </c>
      <c r="K25" s="37">
        <f t="shared" si="0"/>
        <v>50000</v>
      </c>
      <c r="L25" s="37">
        <v>10</v>
      </c>
      <c r="M25" s="37">
        <f>J25*$J$9</f>
        <v>5175</v>
      </c>
      <c r="N25" s="37">
        <f t="shared" si="1"/>
        <v>51750</v>
      </c>
      <c r="O25" s="34">
        <f t="shared" si="2"/>
        <v>34</v>
      </c>
      <c r="P25" s="37">
        <f t="shared" si="3"/>
        <v>162295</v>
      </c>
      <c r="Q25" s="35"/>
      <c r="R25" s="31"/>
    </row>
    <row r="26" spans="1:18" ht="12.5">
      <c r="A26" s="32"/>
      <c r="B26" s="33"/>
      <c r="C26" s="36" t="s">
        <v>238</v>
      </c>
      <c r="D26" s="37">
        <v>0</v>
      </c>
      <c r="E26" s="37">
        <v>0</v>
      </c>
      <c r="F26" s="238">
        <v>0</v>
      </c>
      <c r="G26" s="343" t="s">
        <v>31</v>
      </c>
      <c r="H26" s="68">
        <v>0</v>
      </c>
      <c r="I26" s="37">
        <v>4</v>
      </c>
      <c r="J26" s="37">
        <v>8000</v>
      </c>
      <c r="K26" s="37">
        <f t="shared" si="0"/>
        <v>32000</v>
      </c>
      <c r="L26" s="37">
        <v>4</v>
      </c>
      <c r="M26" s="37">
        <v>8000</v>
      </c>
      <c r="N26" s="37">
        <f t="shared" si="1"/>
        <v>32000</v>
      </c>
      <c r="O26" s="34">
        <f t="shared" si="2"/>
        <v>8</v>
      </c>
      <c r="P26" s="37">
        <f t="shared" si="3"/>
        <v>64000</v>
      </c>
      <c r="Q26" s="35"/>
      <c r="R26" s="31"/>
    </row>
    <row r="27" spans="1:18">
      <c r="A27" s="61">
        <v>2</v>
      </c>
      <c r="B27" s="38"/>
      <c r="C27" s="39" t="s">
        <v>52</v>
      </c>
      <c r="D27" s="41"/>
      <c r="E27" s="41"/>
      <c r="F27" s="39"/>
      <c r="G27" s="40"/>
      <c r="H27" s="69"/>
      <c r="I27" s="62"/>
      <c r="J27" s="62"/>
      <c r="K27" s="62"/>
      <c r="L27" s="62"/>
      <c r="M27" s="62"/>
      <c r="N27" s="62"/>
      <c r="O27" s="62"/>
      <c r="P27" s="41"/>
      <c r="Q27" s="42"/>
      <c r="R27" s="31"/>
    </row>
    <row r="28" spans="1:18" s="22" customFormat="1" ht="21.65" customHeight="1">
      <c r="A28" s="43"/>
      <c r="B28" s="44" t="s">
        <v>94</v>
      </c>
      <c r="C28" s="45" t="s">
        <v>66</v>
      </c>
      <c r="D28" s="48">
        <f>SUM(D29:D30)</f>
        <v>30000</v>
      </c>
      <c r="E28" s="48"/>
      <c r="F28" s="48">
        <f>SUM(F29:F30)</f>
        <v>29647</v>
      </c>
      <c r="G28" s="46"/>
      <c r="H28" s="70"/>
      <c r="I28" s="47"/>
      <c r="J28" s="47"/>
      <c r="K28" s="48">
        <f>SUM(K29:K30)</f>
        <v>0</v>
      </c>
      <c r="L28" s="47"/>
      <c r="M28" s="47"/>
      <c r="N28" s="48">
        <f>SUM(N29:N30)</f>
        <v>0</v>
      </c>
      <c r="O28" s="47"/>
      <c r="P28" s="48">
        <f>SUM(P29:P30)</f>
        <v>29647</v>
      </c>
      <c r="Q28" s="49"/>
      <c r="R28" s="50"/>
    </row>
    <row r="29" spans="1:18" ht="12.5">
      <c r="A29" s="32"/>
      <c r="B29" s="33"/>
      <c r="C29" s="36" t="s">
        <v>66</v>
      </c>
      <c r="D29" s="37">
        <v>30000</v>
      </c>
      <c r="E29" s="37">
        <v>1</v>
      </c>
      <c r="F29" s="238">
        <v>29647</v>
      </c>
      <c r="G29" s="343"/>
      <c r="H29" s="68">
        <v>30000</v>
      </c>
      <c r="I29" s="37"/>
      <c r="J29" s="37">
        <v>0</v>
      </c>
      <c r="K29" s="37">
        <f>J29*I29</f>
        <v>0</v>
      </c>
      <c r="L29" s="37"/>
      <c r="M29" s="37">
        <f>J29*$J$9</f>
        <v>0</v>
      </c>
      <c r="N29" s="37">
        <f>M27*L29</f>
        <v>0</v>
      </c>
      <c r="O29" s="34">
        <f>E29+I29+L29</f>
        <v>1</v>
      </c>
      <c r="P29" s="37">
        <f>F29+K29+N29</f>
        <v>29647</v>
      </c>
      <c r="Q29" s="35"/>
      <c r="R29" s="31"/>
    </row>
    <row r="30" spans="1:18" ht="12.5">
      <c r="A30" s="32"/>
      <c r="B30" s="33"/>
      <c r="C30" s="36"/>
      <c r="D30" s="37"/>
      <c r="E30" s="37"/>
      <c r="F30" s="36"/>
      <c r="G30" s="343"/>
      <c r="H30" s="68"/>
      <c r="I30" s="37"/>
      <c r="J30" s="37"/>
      <c r="K30" s="37"/>
      <c r="L30" s="37"/>
      <c r="M30" s="37"/>
      <c r="N30" s="37"/>
      <c r="O30" s="34"/>
      <c r="P30" s="37"/>
      <c r="Q30" s="35"/>
      <c r="R30" s="31"/>
    </row>
    <row r="31" spans="1:18" s="22" customFormat="1" ht="26">
      <c r="A31" s="43">
        <v>1</v>
      </c>
      <c r="B31" s="44" t="s">
        <v>94</v>
      </c>
      <c r="C31" s="45" t="s">
        <v>47</v>
      </c>
      <c r="D31" s="48">
        <f>SUM(D32:D37)</f>
        <v>1856942.7249999999</v>
      </c>
      <c r="E31" s="48"/>
      <c r="F31" s="48">
        <f>SUM(F32:F37)</f>
        <v>504860</v>
      </c>
      <c r="G31" s="46" t="s">
        <v>39</v>
      </c>
      <c r="H31" s="70"/>
      <c r="I31" s="47"/>
      <c r="J31" s="47"/>
      <c r="K31" s="48">
        <f>SUM(K32:K37)</f>
        <v>1026000</v>
      </c>
      <c r="L31" s="47"/>
      <c r="M31" s="47"/>
      <c r="N31" s="48">
        <f>SUM(N32:N37)</f>
        <v>1107250</v>
      </c>
      <c r="O31" s="47"/>
      <c r="P31" s="48">
        <f>SUM(P32:P37)</f>
        <v>2638110</v>
      </c>
      <c r="Q31" s="78"/>
      <c r="R31" s="50"/>
    </row>
    <row r="32" spans="1:18" ht="12.5">
      <c r="A32" s="32"/>
      <c r="B32" s="33"/>
      <c r="C32" s="36" t="s">
        <v>82</v>
      </c>
      <c r="D32" s="37">
        <v>0</v>
      </c>
      <c r="E32" s="37">
        <v>200</v>
      </c>
      <c r="F32" s="238">
        <v>0</v>
      </c>
      <c r="G32" s="343"/>
      <c r="H32" s="68">
        <v>0</v>
      </c>
      <c r="I32" s="37">
        <v>300</v>
      </c>
      <c r="J32" s="37">
        <v>0</v>
      </c>
      <c r="K32" s="37">
        <f t="shared" ref="K32:K37" si="4">J32*I32</f>
        <v>0</v>
      </c>
      <c r="L32" s="37">
        <v>150</v>
      </c>
      <c r="M32" s="37"/>
      <c r="N32" s="37">
        <f t="shared" ref="N32:N37" si="5">M32*L32</f>
        <v>0</v>
      </c>
      <c r="O32" s="34">
        <f t="shared" ref="O32:O37" si="6">E32+I32+L32</f>
        <v>650</v>
      </c>
      <c r="P32" s="37">
        <f t="shared" ref="P32:P37" si="7">F32+K32+N32</f>
        <v>0</v>
      </c>
      <c r="Q32" s="35"/>
      <c r="R32" s="31"/>
    </row>
    <row r="33" spans="1:18" ht="25">
      <c r="A33" s="32"/>
      <c r="B33" s="33"/>
      <c r="C33" s="36" t="s">
        <v>233</v>
      </c>
      <c r="D33" s="37">
        <v>49323.524999999994</v>
      </c>
      <c r="E33" s="37">
        <v>1</v>
      </c>
      <c r="F33" s="238">
        <v>0</v>
      </c>
      <c r="G33" s="343"/>
      <c r="H33" s="68">
        <v>150</v>
      </c>
      <c r="I33" s="37">
        <v>165</v>
      </c>
      <c r="J33" s="37">
        <v>400</v>
      </c>
      <c r="K33" s="37">
        <f t="shared" si="4"/>
        <v>66000</v>
      </c>
      <c r="L33" s="37">
        <v>94</v>
      </c>
      <c r="M33" s="37">
        <v>400</v>
      </c>
      <c r="N33" s="37">
        <f t="shared" si="5"/>
        <v>37600</v>
      </c>
      <c r="O33" s="34">
        <f t="shared" si="6"/>
        <v>260</v>
      </c>
      <c r="P33" s="37">
        <f t="shared" si="7"/>
        <v>103600</v>
      </c>
      <c r="Q33" s="387"/>
      <c r="R33" s="31"/>
    </row>
    <row r="34" spans="1:18" ht="12.5">
      <c r="A34" s="32"/>
      <c r="B34" s="33"/>
      <c r="C34" s="36" t="s">
        <v>99</v>
      </c>
      <c r="D34" s="37">
        <v>25706.125</v>
      </c>
      <c r="E34" s="37">
        <v>200</v>
      </c>
      <c r="F34" s="238">
        <v>0</v>
      </c>
      <c r="G34" s="343"/>
      <c r="H34" s="68">
        <v>25</v>
      </c>
      <c r="I34" s="37">
        <f>I32</f>
        <v>300</v>
      </c>
      <c r="J34" s="68">
        <v>50</v>
      </c>
      <c r="K34" s="37">
        <f t="shared" si="4"/>
        <v>15000</v>
      </c>
      <c r="L34" s="37">
        <f>L32</f>
        <v>150</v>
      </c>
      <c r="M34" s="68">
        <v>50</v>
      </c>
      <c r="N34" s="37">
        <f t="shared" si="5"/>
        <v>7500</v>
      </c>
      <c r="O34" s="34">
        <f t="shared" si="6"/>
        <v>650</v>
      </c>
      <c r="P34" s="37">
        <f t="shared" si="7"/>
        <v>22500</v>
      </c>
      <c r="Q34" s="35"/>
      <c r="R34" s="31"/>
    </row>
    <row r="35" spans="1:18" ht="25">
      <c r="A35" s="32"/>
      <c r="B35" s="33"/>
      <c r="C35" s="190" t="s">
        <v>242</v>
      </c>
      <c r="D35" s="37"/>
      <c r="E35" s="37"/>
      <c r="F35" s="238"/>
      <c r="G35" s="343"/>
      <c r="H35" s="68"/>
      <c r="I35" s="37">
        <v>7</v>
      </c>
      <c r="J35" s="71">
        <v>30000</v>
      </c>
      <c r="K35" s="37">
        <f>J35*I35</f>
        <v>210000</v>
      </c>
      <c r="L35" s="37">
        <v>11</v>
      </c>
      <c r="M35" s="37">
        <f>J35*$J$9</f>
        <v>31049.999999999996</v>
      </c>
      <c r="N35" s="37">
        <f>M35*L35</f>
        <v>341549.99999999994</v>
      </c>
      <c r="O35" s="34">
        <f t="shared" si="6"/>
        <v>18</v>
      </c>
      <c r="P35" s="37">
        <f t="shared" si="7"/>
        <v>551550</v>
      </c>
      <c r="Q35" s="35"/>
      <c r="R35" s="31"/>
    </row>
    <row r="36" spans="1:18" ht="12.5">
      <c r="A36" s="32"/>
      <c r="B36" s="33"/>
      <c r="C36" s="36" t="s">
        <v>230</v>
      </c>
      <c r="D36" s="37">
        <v>1627676.325</v>
      </c>
      <c r="E36" s="37">
        <v>45</v>
      </c>
      <c r="F36" s="238">
        <v>470800</v>
      </c>
      <c r="G36" s="343"/>
      <c r="H36" s="68">
        <v>16500</v>
      </c>
      <c r="I36" s="37">
        <v>33</v>
      </c>
      <c r="J36" s="37">
        <v>20000</v>
      </c>
      <c r="K36" s="37">
        <f t="shared" si="4"/>
        <v>660000</v>
      </c>
      <c r="L36" s="37">
        <v>33</v>
      </c>
      <c r="M36" s="37">
        <f>J36*$J$9</f>
        <v>20700</v>
      </c>
      <c r="N36" s="37">
        <f t="shared" si="5"/>
        <v>683100</v>
      </c>
      <c r="O36" s="34">
        <f t="shared" si="6"/>
        <v>111</v>
      </c>
      <c r="P36" s="37">
        <f t="shared" si="7"/>
        <v>1813900</v>
      </c>
      <c r="Q36" s="79"/>
      <c r="R36" s="31"/>
    </row>
    <row r="37" spans="1:18" ht="25">
      <c r="A37" s="32"/>
      <c r="B37" s="33"/>
      <c r="C37" s="36" t="s">
        <v>231</v>
      </c>
      <c r="D37" s="37">
        <v>154236.75</v>
      </c>
      <c r="E37" s="37">
        <f>E32</f>
        <v>200</v>
      </c>
      <c r="F37" s="238">
        <v>34060</v>
      </c>
      <c r="G37" s="343"/>
      <c r="H37" s="68">
        <v>150</v>
      </c>
      <c r="I37" s="37">
        <f>I32</f>
        <v>300</v>
      </c>
      <c r="J37" s="37">
        <v>250</v>
      </c>
      <c r="K37" s="37">
        <f t="shared" si="4"/>
        <v>75000</v>
      </c>
      <c r="L37" s="37">
        <f>L32</f>
        <v>150</v>
      </c>
      <c r="M37" s="37">
        <v>250</v>
      </c>
      <c r="N37" s="37">
        <f t="shared" si="5"/>
        <v>37500</v>
      </c>
      <c r="O37" s="34">
        <f t="shared" si="6"/>
        <v>650</v>
      </c>
      <c r="P37" s="37">
        <f t="shared" si="7"/>
        <v>146560</v>
      </c>
      <c r="Q37" s="35"/>
      <c r="R37" s="31"/>
    </row>
    <row r="38" spans="1:18" ht="12.5">
      <c r="A38" s="32"/>
      <c r="B38" s="33"/>
      <c r="C38" s="36"/>
      <c r="D38" s="37"/>
      <c r="E38" s="37"/>
      <c r="F38" s="36"/>
      <c r="G38" s="343"/>
      <c r="H38" s="68"/>
      <c r="I38" s="37"/>
      <c r="J38" s="37"/>
      <c r="K38" s="37"/>
      <c r="L38" s="37"/>
      <c r="M38" s="37"/>
      <c r="N38" s="37"/>
      <c r="O38" s="34"/>
      <c r="P38" s="37"/>
      <c r="Q38" s="35"/>
      <c r="R38" s="31"/>
    </row>
    <row r="39" spans="1:18" s="22" customFormat="1" ht="24.75" customHeight="1">
      <c r="A39" s="43">
        <v>2</v>
      </c>
      <c r="B39" s="44" t="s">
        <v>94</v>
      </c>
      <c r="C39" s="45" t="s">
        <v>53</v>
      </c>
      <c r="D39" s="48">
        <f>SUM(D40:D46)</f>
        <v>1687550.925</v>
      </c>
      <c r="E39" s="374"/>
      <c r="F39" s="48">
        <f>SUM(F40:F46)</f>
        <v>548929</v>
      </c>
      <c r="G39" s="46" t="s">
        <v>39</v>
      </c>
      <c r="H39" s="70"/>
      <c r="I39" s="47"/>
      <c r="J39" s="47"/>
      <c r="K39" s="48">
        <f>SUM(K40:K46)</f>
        <v>873000</v>
      </c>
      <c r="L39" s="47"/>
      <c r="M39" s="47"/>
      <c r="N39" s="48">
        <f>SUM(N40:N46)</f>
        <v>811500</v>
      </c>
      <c r="O39" s="47"/>
      <c r="P39" s="48">
        <f>SUM(P40:P46)</f>
        <v>2233429</v>
      </c>
      <c r="Q39" s="77"/>
      <c r="R39" s="50"/>
    </row>
    <row r="40" spans="1:18" ht="12.5">
      <c r="A40" s="32"/>
      <c r="B40" s="33"/>
      <c r="C40" s="51" t="s">
        <v>41</v>
      </c>
      <c r="D40" s="37">
        <v>0</v>
      </c>
      <c r="E40" s="37">
        <v>200</v>
      </c>
      <c r="F40" s="238">
        <v>0</v>
      </c>
      <c r="G40" s="351"/>
      <c r="H40" s="68">
        <v>0</v>
      </c>
      <c r="I40" s="34">
        <f>I37</f>
        <v>300</v>
      </c>
      <c r="J40" s="37">
        <v>0</v>
      </c>
      <c r="K40" s="37">
        <f t="shared" ref="K40:K46" si="8">J40*I40</f>
        <v>0</v>
      </c>
      <c r="L40" s="34">
        <f>L37</f>
        <v>150</v>
      </c>
      <c r="M40" s="37">
        <f t="shared" ref="M40:M41" si="9">J40*$J$9</f>
        <v>0</v>
      </c>
      <c r="N40" s="37">
        <f>M40*L40</f>
        <v>0</v>
      </c>
      <c r="O40" s="34">
        <f t="shared" ref="O40:O46" si="10">E40+I40+L40</f>
        <v>650</v>
      </c>
      <c r="P40" s="37">
        <f t="shared" ref="P40:P46" si="11">F40+K40+N40</f>
        <v>0</v>
      </c>
      <c r="Q40" s="35"/>
      <c r="R40" s="31"/>
    </row>
    <row r="41" spans="1:18" ht="25">
      <c r="A41" s="32"/>
      <c r="B41" s="33"/>
      <c r="C41" s="51" t="s">
        <v>32</v>
      </c>
      <c r="D41" s="37">
        <v>0</v>
      </c>
      <c r="E41" s="37">
        <f>E40</f>
        <v>200</v>
      </c>
      <c r="F41" s="238">
        <v>0</v>
      </c>
      <c r="G41" s="351"/>
      <c r="H41" s="68"/>
      <c r="I41" s="34">
        <f>I40</f>
        <v>300</v>
      </c>
      <c r="J41" s="37">
        <f>D40*$J$9</f>
        <v>0</v>
      </c>
      <c r="K41" s="37">
        <f t="shared" si="8"/>
        <v>0</v>
      </c>
      <c r="L41" s="34">
        <f>L40</f>
        <v>150</v>
      </c>
      <c r="M41" s="37">
        <f t="shared" si="9"/>
        <v>0</v>
      </c>
      <c r="N41" s="37">
        <f t="shared" ref="N41:N46" si="12">M41*L41</f>
        <v>0</v>
      </c>
      <c r="O41" s="34">
        <f t="shared" si="10"/>
        <v>650</v>
      </c>
      <c r="P41" s="37">
        <f t="shared" si="11"/>
        <v>0</v>
      </c>
      <c r="Q41" s="35"/>
      <c r="R41" s="31"/>
    </row>
    <row r="42" spans="1:18" ht="12.5">
      <c r="A42" s="32"/>
      <c r="B42" s="33"/>
      <c r="C42" s="51" t="s">
        <v>74</v>
      </c>
      <c r="D42" s="37">
        <v>107965.72499999999</v>
      </c>
      <c r="E42" s="37">
        <f>E41</f>
        <v>200</v>
      </c>
      <c r="F42" s="238">
        <v>18395</v>
      </c>
      <c r="G42" s="351"/>
      <c r="H42" s="68">
        <v>150</v>
      </c>
      <c r="I42" s="34">
        <f>I41</f>
        <v>300</v>
      </c>
      <c r="J42" s="37">
        <v>300</v>
      </c>
      <c r="K42" s="37">
        <f t="shared" si="8"/>
        <v>90000</v>
      </c>
      <c r="L42" s="34">
        <f>L41</f>
        <v>150</v>
      </c>
      <c r="M42" s="37">
        <v>300</v>
      </c>
      <c r="N42" s="37">
        <f t="shared" si="12"/>
        <v>45000</v>
      </c>
      <c r="O42" s="34">
        <f t="shared" si="10"/>
        <v>650</v>
      </c>
      <c r="P42" s="37">
        <f t="shared" si="11"/>
        <v>153395</v>
      </c>
      <c r="Q42" s="35"/>
      <c r="R42" s="31"/>
    </row>
    <row r="43" spans="1:18" ht="25">
      <c r="A43" s="32"/>
      <c r="B43" s="33"/>
      <c r="C43" s="51" t="s">
        <v>240</v>
      </c>
      <c r="D43" s="37">
        <v>36149.75</v>
      </c>
      <c r="E43" s="37">
        <v>0</v>
      </c>
      <c r="F43" s="238">
        <v>0</v>
      </c>
      <c r="G43" s="351"/>
      <c r="H43" s="68">
        <v>500</v>
      </c>
      <c r="I43" s="34">
        <v>30</v>
      </c>
      <c r="J43" s="37">
        <v>600</v>
      </c>
      <c r="K43" s="37">
        <f t="shared" si="8"/>
        <v>18000</v>
      </c>
      <c r="L43" s="34">
        <v>15</v>
      </c>
      <c r="M43" s="37">
        <v>600</v>
      </c>
      <c r="N43" s="37">
        <f t="shared" si="12"/>
        <v>9000</v>
      </c>
      <c r="O43" s="34">
        <f t="shared" si="10"/>
        <v>45</v>
      </c>
      <c r="P43" s="37">
        <f t="shared" si="11"/>
        <v>27000</v>
      </c>
      <c r="Q43" s="35"/>
      <c r="R43" s="31"/>
    </row>
    <row r="44" spans="1:18" ht="37.5">
      <c r="A44" s="32"/>
      <c r="B44" s="33"/>
      <c r="C44" s="51" t="s">
        <v>102</v>
      </c>
      <c r="D44" s="37">
        <v>30847.35</v>
      </c>
      <c r="E44" s="37">
        <f>E40</f>
        <v>200</v>
      </c>
      <c r="F44" s="238">
        <v>0</v>
      </c>
      <c r="G44" s="351"/>
      <c r="H44" s="68">
        <v>30</v>
      </c>
      <c r="I44" s="37">
        <f>I40</f>
        <v>300</v>
      </c>
      <c r="J44" s="37">
        <v>50</v>
      </c>
      <c r="K44" s="37">
        <f t="shared" si="8"/>
        <v>15000</v>
      </c>
      <c r="L44" s="37">
        <f>L40</f>
        <v>150</v>
      </c>
      <c r="M44" s="37">
        <v>50</v>
      </c>
      <c r="N44" s="37">
        <f t="shared" si="12"/>
        <v>7500</v>
      </c>
      <c r="O44" s="34">
        <f t="shared" si="10"/>
        <v>650</v>
      </c>
      <c r="P44" s="37">
        <f t="shared" si="11"/>
        <v>22500</v>
      </c>
      <c r="Q44" s="35"/>
      <c r="R44" s="31"/>
    </row>
    <row r="45" spans="1:18" ht="12.5">
      <c r="A45" s="32"/>
      <c r="B45" s="33"/>
      <c r="C45" s="51" t="s">
        <v>103</v>
      </c>
      <c r="D45" s="37">
        <v>1512588.1</v>
      </c>
      <c r="E45" s="37">
        <v>30</v>
      </c>
      <c r="F45" s="238">
        <v>530534</v>
      </c>
      <c r="G45" s="351"/>
      <c r="H45" s="68">
        <v>23000</v>
      </c>
      <c r="I45" s="37">
        <v>22</v>
      </c>
      <c r="J45" s="37">
        <v>25000</v>
      </c>
      <c r="K45" s="37">
        <f t="shared" si="8"/>
        <v>550000</v>
      </c>
      <c r="L45" s="37">
        <v>22</v>
      </c>
      <c r="M45" s="37">
        <v>25000</v>
      </c>
      <c r="N45" s="37">
        <f t="shared" si="12"/>
        <v>550000</v>
      </c>
      <c r="O45" s="34">
        <f t="shared" si="10"/>
        <v>74</v>
      </c>
      <c r="P45" s="37">
        <f t="shared" si="11"/>
        <v>1630534</v>
      </c>
      <c r="Q45" s="35"/>
      <c r="R45" s="31"/>
    </row>
    <row r="46" spans="1:18" ht="12.5">
      <c r="A46" s="32"/>
      <c r="B46" s="33"/>
      <c r="C46" s="51" t="s">
        <v>232</v>
      </c>
      <c r="D46" s="37"/>
      <c r="E46" s="37">
        <v>0</v>
      </c>
      <c r="F46" s="51"/>
      <c r="G46" s="351"/>
      <c r="H46" s="68"/>
      <c r="I46" s="37">
        <v>8</v>
      </c>
      <c r="J46" s="37">
        <v>25000</v>
      </c>
      <c r="K46" s="37">
        <f t="shared" si="8"/>
        <v>200000</v>
      </c>
      <c r="L46" s="37">
        <v>8</v>
      </c>
      <c r="M46" s="37">
        <v>25000</v>
      </c>
      <c r="N46" s="37">
        <f t="shared" si="12"/>
        <v>200000</v>
      </c>
      <c r="O46" s="34">
        <f t="shared" si="10"/>
        <v>16</v>
      </c>
      <c r="P46" s="37">
        <f t="shared" si="11"/>
        <v>400000</v>
      </c>
      <c r="Q46" s="35"/>
      <c r="R46" s="31"/>
    </row>
    <row r="47" spans="1:18" s="22" customFormat="1" ht="39">
      <c r="A47" s="43">
        <v>3</v>
      </c>
      <c r="B47" s="44" t="s">
        <v>94</v>
      </c>
      <c r="C47" s="45" t="s">
        <v>54</v>
      </c>
      <c r="D47" s="48">
        <f>SUM(D48:D49)</f>
        <v>126388.175</v>
      </c>
      <c r="E47" s="48"/>
      <c r="F47" s="48">
        <f>SUM(F48:F49)</f>
        <v>10724</v>
      </c>
      <c r="G47" s="46" t="s">
        <v>40</v>
      </c>
      <c r="H47" s="70"/>
      <c r="I47" s="47"/>
      <c r="J47" s="47"/>
      <c r="K47" s="48">
        <f>SUM(K48:K49)</f>
        <v>72000</v>
      </c>
      <c r="L47" s="47"/>
      <c r="M47" s="47"/>
      <c r="N47" s="48">
        <f>SUM(N48:N49)</f>
        <v>40500</v>
      </c>
      <c r="O47" s="47"/>
      <c r="P47" s="48">
        <f>SUM(P48:P49)</f>
        <v>123224</v>
      </c>
      <c r="Q47" s="49"/>
      <c r="R47" s="50"/>
    </row>
    <row r="48" spans="1:18" ht="12.5">
      <c r="A48" s="32"/>
      <c r="B48" s="33"/>
      <c r="C48" s="52" t="s">
        <v>46</v>
      </c>
      <c r="D48" s="37">
        <v>102824.5</v>
      </c>
      <c r="E48" s="37">
        <v>200</v>
      </c>
      <c r="F48" s="52"/>
      <c r="G48" s="352" t="s">
        <v>72</v>
      </c>
      <c r="H48" s="71">
        <v>100</v>
      </c>
      <c r="I48" s="34">
        <f>I40</f>
        <v>300</v>
      </c>
      <c r="J48" s="37">
        <v>200</v>
      </c>
      <c r="K48" s="37">
        <f>J48*I48</f>
        <v>60000</v>
      </c>
      <c r="L48" s="34">
        <f>L40</f>
        <v>150</v>
      </c>
      <c r="M48" s="37">
        <v>200</v>
      </c>
      <c r="N48" s="37">
        <f>M48*L48</f>
        <v>30000</v>
      </c>
      <c r="O48" s="34">
        <f>E48+I48+L48</f>
        <v>650</v>
      </c>
      <c r="P48" s="37">
        <f>F48+K48+N48</f>
        <v>90000</v>
      </c>
      <c r="Q48" s="79"/>
      <c r="R48" s="31"/>
    </row>
    <row r="49" spans="1:18" ht="12.5">
      <c r="A49" s="32"/>
      <c r="B49" s="33"/>
      <c r="C49" s="52" t="s">
        <v>33</v>
      </c>
      <c r="D49" s="37">
        <v>23563.674999999999</v>
      </c>
      <c r="E49" s="37">
        <v>10</v>
      </c>
      <c r="F49" s="238">
        <v>10724</v>
      </c>
      <c r="G49" s="352" t="s">
        <v>76</v>
      </c>
      <c r="H49" s="71">
        <v>1000</v>
      </c>
      <c r="I49" s="37">
        <v>8</v>
      </c>
      <c r="J49" s="37">
        <v>1500</v>
      </c>
      <c r="K49" s="37">
        <f>J49*I49</f>
        <v>12000</v>
      </c>
      <c r="L49" s="37">
        <v>7</v>
      </c>
      <c r="M49" s="37">
        <v>1500</v>
      </c>
      <c r="N49" s="37">
        <f>M49*L49</f>
        <v>10500</v>
      </c>
      <c r="O49" s="34">
        <f>E49+I49+L49</f>
        <v>25</v>
      </c>
      <c r="P49" s="37">
        <f>F49+K49+N49</f>
        <v>33224</v>
      </c>
      <c r="Q49" s="35"/>
      <c r="R49" s="31"/>
    </row>
    <row r="50" spans="1:18" ht="12.5">
      <c r="A50" s="32"/>
      <c r="B50" s="33"/>
      <c r="C50" s="53"/>
      <c r="D50" s="37"/>
      <c r="E50" s="37"/>
      <c r="F50" s="53"/>
      <c r="G50" s="279"/>
      <c r="H50" s="72"/>
      <c r="I50" s="34"/>
      <c r="J50" s="34"/>
      <c r="K50" s="34"/>
      <c r="L50" s="34"/>
      <c r="M50" s="34"/>
      <c r="N50" s="34"/>
      <c r="O50" s="34"/>
      <c r="P50" s="37"/>
      <c r="Q50" s="35"/>
      <c r="R50" s="31"/>
    </row>
    <row r="51" spans="1:18" s="22" customFormat="1" ht="28.9" customHeight="1">
      <c r="A51" s="43">
        <v>4</v>
      </c>
      <c r="B51" s="44" t="s">
        <v>94</v>
      </c>
      <c r="C51" s="45" t="s">
        <v>22</v>
      </c>
      <c r="D51" s="48">
        <f>SUM(D52:D55)</f>
        <v>77331.637499999997</v>
      </c>
      <c r="E51" s="48"/>
      <c r="F51" s="48">
        <f>SUM(F52:F55)</f>
        <v>0</v>
      </c>
      <c r="G51" s="46" t="s">
        <v>56</v>
      </c>
      <c r="H51" s="70"/>
      <c r="I51" s="47"/>
      <c r="J51" s="47"/>
      <c r="K51" s="48">
        <f>SUM(K52:K55)</f>
        <v>123600</v>
      </c>
      <c r="L51" s="47"/>
      <c r="M51" s="47"/>
      <c r="N51" s="48">
        <f>SUM(N52:N55)</f>
        <v>105400</v>
      </c>
      <c r="O51" s="47"/>
      <c r="P51" s="48">
        <f>SUM(P52:P55)</f>
        <v>229000</v>
      </c>
      <c r="Q51" s="49"/>
      <c r="R51" s="50"/>
    </row>
    <row r="52" spans="1:18" ht="12.5">
      <c r="A52" s="32"/>
      <c r="B52" s="33"/>
      <c r="C52" s="52" t="s">
        <v>196</v>
      </c>
      <c r="D52" s="37">
        <v>14245</v>
      </c>
      <c r="E52" s="37">
        <v>0</v>
      </c>
      <c r="F52" s="238">
        <v>0</v>
      </c>
      <c r="G52" s="352" t="s">
        <v>76</v>
      </c>
      <c r="H52" s="71">
        <v>7000</v>
      </c>
      <c r="I52" s="37">
        <v>1</v>
      </c>
      <c r="J52" s="37">
        <v>10000</v>
      </c>
      <c r="K52" s="37">
        <f>J52*I52</f>
        <v>10000</v>
      </c>
      <c r="L52" s="37">
        <v>2</v>
      </c>
      <c r="M52" s="37">
        <v>10000</v>
      </c>
      <c r="N52" s="37">
        <f>M52*L52</f>
        <v>20000</v>
      </c>
      <c r="O52" s="34">
        <f>E52+I52+L52</f>
        <v>3</v>
      </c>
      <c r="P52" s="37">
        <f>F52+K52+N52</f>
        <v>30000</v>
      </c>
      <c r="Q52" s="35"/>
      <c r="R52" s="31"/>
    </row>
    <row r="53" spans="1:18" ht="12.5">
      <c r="A53" s="32"/>
      <c r="B53" s="33"/>
      <c r="C53" s="52" t="s">
        <v>83</v>
      </c>
      <c r="D53" s="37">
        <v>12853.0625</v>
      </c>
      <c r="E53" s="37">
        <v>0</v>
      </c>
      <c r="F53" s="238">
        <v>0</v>
      </c>
      <c r="G53" s="352" t="s">
        <v>77</v>
      </c>
      <c r="H53" s="71">
        <v>500</v>
      </c>
      <c r="I53" s="37">
        <v>17</v>
      </c>
      <c r="J53" s="37">
        <v>800</v>
      </c>
      <c r="K53" s="37">
        <f>J53*I53</f>
        <v>13600</v>
      </c>
      <c r="L53" s="37">
        <v>13</v>
      </c>
      <c r="M53" s="37">
        <v>800</v>
      </c>
      <c r="N53" s="37">
        <f>M53*L53</f>
        <v>10400</v>
      </c>
      <c r="O53" s="34">
        <f>E53+I53+L53</f>
        <v>30</v>
      </c>
      <c r="P53" s="37">
        <f>F53+K53+N53</f>
        <v>24000</v>
      </c>
      <c r="Q53" s="35"/>
      <c r="R53" s="31"/>
    </row>
    <row r="54" spans="1:18" ht="12.5">
      <c r="A54" s="32"/>
      <c r="B54" s="33"/>
      <c r="C54" s="52" t="s">
        <v>84</v>
      </c>
      <c r="D54" s="37">
        <v>50233.574999999997</v>
      </c>
      <c r="E54" s="37">
        <v>0</v>
      </c>
      <c r="F54" s="238">
        <v>0</v>
      </c>
      <c r="G54" s="352" t="s">
        <v>78</v>
      </c>
      <c r="H54" s="71">
        <v>7000</v>
      </c>
      <c r="I54" s="37">
        <v>3</v>
      </c>
      <c r="J54" s="37">
        <v>10000</v>
      </c>
      <c r="K54" s="37">
        <f>J54*I54</f>
        <v>30000</v>
      </c>
      <c r="L54" s="37">
        <v>3</v>
      </c>
      <c r="M54" s="37">
        <v>10000</v>
      </c>
      <c r="N54" s="37">
        <f>M54*L54</f>
        <v>30000</v>
      </c>
      <c r="O54" s="34">
        <f>E54+I54+L54</f>
        <v>6</v>
      </c>
      <c r="P54" s="37">
        <f>F54+K54+N54</f>
        <v>60000</v>
      </c>
      <c r="Q54" s="35"/>
      <c r="R54" s="31"/>
    </row>
    <row r="55" spans="1:18" ht="25">
      <c r="A55" s="32"/>
      <c r="B55" s="33"/>
      <c r="C55" s="228" t="s">
        <v>244</v>
      </c>
      <c r="D55" s="37">
        <v>0</v>
      </c>
      <c r="E55" s="37">
        <v>0</v>
      </c>
      <c r="F55" s="37">
        <v>0</v>
      </c>
      <c r="G55" s="352" t="s">
        <v>77</v>
      </c>
      <c r="H55" s="71">
        <v>0</v>
      </c>
      <c r="I55" s="37">
        <v>35</v>
      </c>
      <c r="J55" s="37">
        <v>2000</v>
      </c>
      <c r="K55" s="37">
        <f>J55*I55</f>
        <v>70000</v>
      </c>
      <c r="L55" s="37">
        <v>30</v>
      </c>
      <c r="M55" s="37">
        <v>1500</v>
      </c>
      <c r="N55" s="37">
        <f>M55*L55</f>
        <v>45000</v>
      </c>
      <c r="O55" s="34">
        <f>SUM(E55,I55,L55)</f>
        <v>65</v>
      </c>
      <c r="P55" s="37">
        <f>F55+K55+N55</f>
        <v>115000</v>
      </c>
      <c r="Q55" s="35"/>
      <c r="R55" s="31"/>
    </row>
    <row r="56" spans="1:18" s="22" customFormat="1" ht="31.15" customHeight="1">
      <c r="A56" s="43">
        <v>5</v>
      </c>
      <c r="B56" s="44" t="s">
        <v>94</v>
      </c>
      <c r="C56" s="45" t="s">
        <v>23</v>
      </c>
      <c r="D56" s="48">
        <f>SUM(D57:D58)</f>
        <v>51412.25</v>
      </c>
      <c r="E56" s="48"/>
      <c r="F56" s="48">
        <f>SUM(F57:F58)</f>
        <v>0</v>
      </c>
      <c r="G56" s="46" t="s">
        <v>39</v>
      </c>
      <c r="H56" s="70"/>
      <c r="I56" s="47"/>
      <c r="J56" s="47"/>
      <c r="K56" s="48">
        <f>SUM(K57:K58)</f>
        <v>71400</v>
      </c>
      <c r="L56" s="47"/>
      <c r="M56" s="47"/>
      <c r="N56" s="48">
        <f>SUM(N57:N58)</f>
        <v>22500</v>
      </c>
      <c r="O56" s="47"/>
      <c r="P56" s="48">
        <f>SUM(P57:P58)</f>
        <v>93900</v>
      </c>
      <c r="Q56" s="49"/>
      <c r="R56" s="50"/>
    </row>
    <row r="57" spans="1:18" ht="29">
      <c r="A57" s="32"/>
      <c r="B57" s="33"/>
      <c r="C57" s="391" t="s">
        <v>59</v>
      </c>
      <c r="D57" s="37">
        <v>51412.25</v>
      </c>
      <c r="E57" s="37">
        <v>24</v>
      </c>
      <c r="F57" s="238">
        <v>0</v>
      </c>
      <c r="G57" s="352" t="s">
        <v>72</v>
      </c>
      <c r="H57" s="71">
        <v>50</v>
      </c>
      <c r="I57" s="34">
        <v>476</v>
      </c>
      <c r="J57" s="37">
        <v>150</v>
      </c>
      <c r="K57" s="37">
        <f>J57*I57</f>
        <v>71400</v>
      </c>
      <c r="L57" s="34">
        <f>L48</f>
        <v>150</v>
      </c>
      <c r="M57" s="37">
        <v>150</v>
      </c>
      <c r="N57" s="37">
        <f>M57*L57</f>
        <v>22500</v>
      </c>
      <c r="O57" s="34">
        <f>E57+I57+L57</f>
        <v>650</v>
      </c>
      <c r="P57" s="37">
        <f>F57+K57+N57</f>
        <v>93900</v>
      </c>
      <c r="Q57" s="35"/>
      <c r="R57" s="31"/>
    </row>
    <row r="58" spans="1:18" ht="12.5">
      <c r="A58" s="32"/>
      <c r="B58" s="33"/>
      <c r="C58" s="52" t="s">
        <v>58</v>
      </c>
      <c r="D58" s="37">
        <v>0</v>
      </c>
      <c r="E58" s="37">
        <v>4</v>
      </c>
      <c r="F58" s="238">
        <v>0</v>
      </c>
      <c r="G58" s="352"/>
      <c r="H58" s="71"/>
      <c r="I58" s="37">
        <v>5</v>
      </c>
      <c r="J58" s="37">
        <v>0</v>
      </c>
      <c r="K58" s="37">
        <f>J58*I58</f>
        <v>0</v>
      </c>
      <c r="L58" s="37">
        <v>4</v>
      </c>
      <c r="M58" s="37">
        <f>J58*$J$9</f>
        <v>0</v>
      </c>
      <c r="N58" s="37">
        <f>M56*L58</f>
        <v>0</v>
      </c>
      <c r="O58" s="34">
        <f>E58+I58+L58</f>
        <v>13</v>
      </c>
      <c r="P58" s="37">
        <f>F58+K58+N58</f>
        <v>0</v>
      </c>
      <c r="Q58" s="35"/>
      <c r="R58" s="31"/>
    </row>
    <row r="59" spans="1:18" ht="12.5">
      <c r="A59" s="32"/>
      <c r="B59" s="33"/>
      <c r="C59" s="52"/>
      <c r="D59" s="37"/>
      <c r="E59" s="37"/>
      <c r="F59" s="238">
        <v>0</v>
      </c>
      <c r="G59" s="352"/>
      <c r="H59" s="71"/>
      <c r="I59" s="37"/>
      <c r="J59" s="37"/>
      <c r="K59" s="37"/>
      <c r="L59" s="37"/>
      <c r="M59" s="37"/>
      <c r="N59" s="37"/>
      <c r="O59" s="34"/>
      <c r="P59" s="37"/>
      <c r="Q59" s="35"/>
      <c r="R59" s="31"/>
    </row>
    <row r="60" spans="1:18" s="22" customFormat="1" ht="31.9" customHeight="1">
      <c r="A60" s="43">
        <v>6</v>
      </c>
      <c r="B60" s="44" t="s">
        <v>95</v>
      </c>
      <c r="C60" s="45" t="s">
        <v>60</v>
      </c>
      <c r="D60" s="48">
        <f>SUM(D61:D68)</f>
        <v>252005.52499999999</v>
      </c>
      <c r="E60" s="48"/>
      <c r="F60" s="48">
        <f>SUM(F61:F68)</f>
        <v>11051</v>
      </c>
      <c r="G60" s="46" t="s">
        <v>56</v>
      </c>
      <c r="H60" s="70"/>
      <c r="I60" s="47"/>
      <c r="J60" s="47"/>
      <c r="K60" s="48">
        <f>SUM(K61:K68)</f>
        <v>235000</v>
      </c>
      <c r="L60" s="47"/>
      <c r="M60" s="47"/>
      <c r="N60" s="48">
        <f>SUM(N61:N68)</f>
        <v>161000</v>
      </c>
      <c r="O60" s="47"/>
      <c r="P60" s="48">
        <f>SUM(P61:P68)</f>
        <v>407051</v>
      </c>
      <c r="Q60" s="49"/>
      <c r="R60" s="50"/>
    </row>
    <row r="61" spans="1:18" s="22" customFormat="1" ht="25">
      <c r="A61" s="56"/>
      <c r="B61" s="33"/>
      <c r="C61" s="52" t="s">
        <v>61</v>
      </c>
      <c r="D61" s="37">
        <v>0</v>
      </c>
      <c r="E61" s="37">
        <v>0</v>
      </c>
      <c r="F61" s="238">
        <v>0</v>
      </c>
      <c r="G61" s="352"/>
      <c r="H61" s="71">
        <v>0</v>
      </c>
      <c r="I61" s="37"/>
      <c r="J61" s="37">
        <v>0</v>
      </c>
      <c r="K61" s="37">
        <f t="shared" ref="K61:K68" si="13">J61*I61</f>
        <v>0</v>
      </c>
      <c r="L61" s="37"/>
      <c r="M61" s="37">
        <f>J61*$J$9</f>
        <v>0</v>
      </c>
      <c r="N61" s="37">
        <f>M61*L61</f>
        <v>0</v>
      </c>
      <c r="O61" s="34">
        <f t="shared" ref="O61:O68" si="14">E61+I61+L61</f>
        <v>0</v>
      </c>
      <c r="P61" s="37">
        <f t="shared" ref="P61:P68" si="15">F61+K61+N61</f>
        <v>0</v>
      </c>
      <c r="Q61" s="35"/>
      <c r="R61" s="50"/>
    </row>
    <row r="62" spans="1:18" s="22" customFormat="1">
      <c r="A62" s="56"/>
      <c r="B62" s="33"/>
      <c r="C62" s="52" t="s">
        <v>86</v>
      </c>
      <c r="D62" s="37">
        <v>5000</v>
      </c>
      <c r="E62" s="37">
        <v>1</v>
      </c>
      <c r="F62" s="238">
        <v>5395</v>
      </c>
      <c r="G62" s="352" t="s">
        <v>78</v>
      </c>
      <c r="H62" s="71">
        <v>5000</v>
      </c>
      <c r="I62" s="37">
        <v>0</v>
      </c>
      <c r="J62" s="37">
        <v>0</v>
      </c>
      <c r="K62" s="37">
        <f>J62*I62</f>
        <v>0</v>
      </c>
      <c r="L62" s="37">
        <v>0</v>
      </c>
      <c r="M62" s="37">
        <v>0</v>
      </c>
      <c r="N62" s="37">
        <f t="shared" ref="N62:N68" si="16">M62*L62</f>
        <v>0</v>
      </c>
      <c r="O62" s="34">
        <f t="shared" si="14"/>
        <v>1</v>
      </c>
      <c r="P62" s="37">
        <f t="shared" si="15"/>
        <v>5395</v>
      </c>
      <c r="Q62" s="57"/>
      <c r="R62" s="50"/>
    </row>
    <row r="63" spans="1:18" s="22" customFormat="1" ht="37.5">
      <c r="A63" s="56"/>
      <c r="B63" s="33"/>
      <c r="C63" s="51" t="s">
        <v>62</v>
      </c>
      <c r="D63" s="37">
        <v>70000</v>
      </c>
      <c r="E63" s="37">
        <v>0</v>
      </c>
      <c r="F63" s="238">
        <v>0</v>
      </c>
      <c r="G63" s="352" t="s">
        <v>79</v>
      </c>
      <c r="H63" s="71">
        <v>70000</v>
      </c>
      <c r="I63" s="37">
        <v>1</v>
      </c>
      <c r="J63" s="37">
        <v>75000</v>
      </c>
      <c r="K63" s="37">
        <f t="shared" si="13"/>
        <v>75000</v>
      </c>
      <c r="L63" s="37">
        <v>0</v>
      </c>
      <c r="M63" s="37">
        <v>0</v>
      </c>
      <c r="N63" s="37">
        <f t="shared" si="16"/>
        <v>0</v>
      </c>
      <c r="O63" s="34">
        <f t="shared" si="14"/>
        <v>1</v>
      </c>
      <c r="P63" s="37">
        <f t="shared" si="15"/>
        <v>75000</v>
      </c>
      <c r="Q63" s="35"/>
      <c r="R63" s="50"/>
    </row>
    <row r="64" spans="1:18" s="22" customFormat="1" ht="25">
      <c r="A64" s="56"/>
      <c r="B64" s="33"/>
      <c r="C64" s="51" t="s">
        <v>104</v>
      </c>
      <c r="D64" s="37">
        <v>61587.25</v>
      </c>
      <c r="E64" s="37">
        <v>0</v>
      </c>
      <c r="F64" s="238">
        <v>0</v>
      </c>
      <c r="G64" s="352" t="s">
        <v>78</v>
      </c>
      <c r="H64" s="71">
        <v>5000</v>
      </c>
      <c r="I64" s="37">
        <v>3</v>
      </c>
      <c r="J64" s="37">
        <v>7000</v>
      </c>
      <c r="K64" s="37">
        <f t="shared" si="13"/>
        <v>21000</v>
      </c>
      <c r="L64" s="37">
        <v>4</v>
      </c>
      <c r="M64" s="37">
        <v>7000</v>
      </c>
      <c r="N64" s="37">
        <f t="shared" si="16"/>
        <v>28000</v>
      </c>
      <c r="O64" s="34">
        <f t="shared" si="14"/>
        <v>7</v>
      </c>
      <c r="P64" s="37">
        <f t="shared" si="15"/>
        <v>49000</v>
      </c>
      <c r="Q64" s="57"/>
      <c r="R64" s="50"/>
    </row>
    <row r="65" spans="1:18" ht="25">
      <c r="A65" s="32"/>
      <c r="B65" s="33"/>
      <c r="C65" s="51" t="s">
        <v>234</v>
      </c>
      <c r="D65" s="37">
        <v>27956.024999999998</v>
      </c>
      <c r="E65" s="37">
        <v>2</v>
      </c>
      <c r="F65" s="238">
        <v>5656</v>
      </c>
      <c r="G65" s="352" t="s">
        <v>71</v>
      </c>
      <c r="H65" s="71">
        <v>3000</v>
      </c>
      <c r="I65" s="37">
        <v>5</v>
      </c>
      <c r="J65" s="37">
        <v>5000</v>
      </c>
      <c r="K65" s="37">
        <f t="shared" si="13"/>
        <v>25000</v>
      </c>
      <c r="L65" s="37">
        <v>5</v>
      </c>
      <c r="M65" s="37">
        <v>5000</v>
      </c>
      <c r="N65" s="37">
        <f t="shared" si="16"/>
        <v>25000</v>
      </c>
      <c r="O65" s="34">
        <f t="shared" si="14"/>
        <v>12</v>
      </c>
      <c r="P65" s="37">
        <f t="shared" si="15"/>
        <v>55656</v>
      </c>
      <c r="Q65" s="35"/>
      <c r="R65" s="31"/>
    </row>
    <row r="66" spans="1:18" ht="12.5">
      <c r="A66" s="32"/>
      <c r="B66" s="33"/>
      <c r="C66" s="51" t="s">
        <v>235</v>
      </c>
      <c r="D66" s="37">
        <v>61587.25</v>
      </c>
      <c r="E66" s="37">
        <v>0</v>
      </c>
      <c r="F66" s="238">
        <v>0</v>
      </c>
      <c r="G66" s="352" t="s">
        <v>71</v>
      </c>
      <c r="H66" s="71">
        <v>5000</v>
      </c>
      <c r="I66" s="37">
        <v>4</v>
      </c>
      <c r="J66" s="37">
        <v>6000</v>
      </c>
      <c r="K66" s="37">
        <f t="shared" si="13"/>
        <v>24000</v>
      </c>
      <c r="L66" s="37">
        <v>3</v>
      </c>
      <c r="M66" s="37">
        <v>6000</v>
      </c>
      <c r="N66" s="37">
        <f t="shared" si="16"/>
        <v>18000</v>
      </c>
      <c r="O66" s="34">
        <f t="shared" si="14"/>
        <v>7</v>
      </c>
      <c r="P66" s="37">
        <f t="shared" si="15"/>
        <v>42000</v>
      </c>
      <c r="Q66" s="35"/>
      <c r="R66" s="31"/>
    </row>
    <row r="67" spans="1:18" s="22" customFormat="1">
      <c r="A67" s="56"/>
      <c r="B67" s="33"/>
      <c r="C67" s="52" t="s">
        <v>236</v>
      </c>
      <c r="D67" s="37">
        <v>25874.999999999996</v>
      </c>
      <c r="E67" s="37">
        <v>0</v>
      </c>
      <c r="F67" s="238">
        <v>0</v>
      </c>
      <c r="G67" s="352" t="s">
        <v>79</v>
      </c>
      <c r="H67" s="71">
        <v>25000</v>
      </c>
      <c r="I67" s="37">
        <v>1</v>
      </c>
      <c r="J67" s="37">
        <v>40000</v>
      </c>
      <c r="K67" s="37">
        <f t="shared" si="13"/>
        <v>40000</v>
      </c>
      <c r="L67" s="37">
        <v>1</v>
      </c>
      <c r="M67" s="37">
        <v>40000</v>
      </c>
      <c r="N67" s="37">
        <f t="shared" si="16"/>
        <v>40000</v>
      </c>
      <c r="O67" s="34">
        <f t="shared" si="14"/>
        <v>2</v>
      </c>
      <c r="P67" s="37">
        <f t="shared" si="15"/>
        <v>80000</v>
      </c>
      <c r="Q67" s="57"/>
      <c r="R67" s="50"/>
    </row>
    <row r="68" spans="1:18" s="263" customFormat="1" ht="25.5" customHeight="1">
      <c r="A68" s="392"/>
      <c r="B68" s="393"/>
      <c r="C68" s="228" t="s">
        <v>247</v>
      </c>
      <c r="D68" s="37">
        <v>0</v>
      </c>
      <c r="E68" s="37">
        <v>0</v>
      </c>
      <c r="F68" s="37">
        <v>0</v>
      </c>
      <c r="G68" s="352" t="s">
        <v>71</v>
      </c>
      <c r="H68" s="352"/>
      <c r="I68" s="71">
        <v>1</v>
      </c>
      <c r="J68" s="37">
        <v>50000</v>
      </c>
      <c r="K68" s="37">
        <f t="shared" si="13"/>
        <v>50000</v>
      </c>
      <c r="L68" s="37">
        <v>1</v>
      </c>
      <c r="M68" s="37">
        <v>50000</v>
      </c>
      <c r="N68" s="37">
        <f t="shared" si="16"/>
        <v>50000</v>
      </c>
      <c r="O68" s="34">
        <f t="shared" si="14"/>
        <v>2</v>
      </c>
      <c r="P68" s="37">
        <f t="shared" si="15"/>
        <v>100000</v>
      </c>
      <c r="Q68" s="37"/>
      <c r="R68" s="394"/>
    </row>
    <row r="69" spans="1:18" s="22" customFormat="1">
      <c r="A69" s="56"/>
      <c r="B69" s="58"/>
      <c r="C69" s="52"/>
      <c r="D69" s="55"/>
      <c r="E69" s="37">
        <v>0</v>
      </c>
      <c r="F69" s="238">
        <v>0</v>
      </c>
      <c r="G69" s="352"/>
      <c r="H69" s="71"/>
      <c r="I69" s="54"/>
      <c r="J69" s="37"/>
      <c r="K69" s="54"/>
      <c r="L69" s="54"/>
      <c r="M69" s="54"/>
      <c r="N69" s="54"/>
      <c r="O69" s="54"/>
      <c r="P69" s="55"/>
      <c r="Q69" s="57"/>
      <c r="R69" s="50"/>
    </row>
    <row r="70" spans="1:18" s="22" customFormat="1" ht="28.9" customHeight="1">
      <c r="A70" s="43">
        <v>7</v>
      </c>
      <c r="B70" s="44" t="s">
        <v>96</v>
      </c>
      <c r="C70" s="45" t="s">
        <v>17</v>
      </c>
      <c r="D70" s="48">
        <f>SUM(D71:D78)</f>
        <v>322825.95</v>
      </c>
      <c r="E70" s="112"/>
      <c r="F70" s="48">
        <f>SUM(F71:F78)</f>
        <v>27198</v>
      </c>
      <c r="G70" s="46" t="s">
        <v>20</v>
      </c>
      <c r="H70" s="70"/>
      <c r="I70" s="47"/>
      <c r="J70" s="47"/>
      <c r="K70" s="48">
        <f>SUM(K71:K78)</f>
        <v>140000</v>
      </c>
      <c r="L70" s="47"/>
      <c r="M70" s="47"/>
      <c r="N70" s="48">
        <f>SUM(N71:N78)</f>
        <v>134000</v>
      </c>
      <c r="O70" s="47"/>
      <c r="P70" s="48">
        <f>SUM(P71:P78)</f>
        <v>301198</v>
      </c>
      <c r="Q70" s="49"/>
      <c r="R70" s="50"/>
    </row>
    <row r="71" spans="1:18" ht="12.5">
      <c r="A71" s="32"/>
      <c r="B71" s="33"/>
      <c r="C71" s="52" t="s">
        <v>87</v>
      </c>
      <c r="D71" s="37">
        <v>148239.20000000001</v>
      </c>
      <c r="E71" s="37"/>
      <c r="F71" s="238">
        <v>0</v>
      </c>
      <c r="G71" s="352" t="s">
        <v>71</v>
      </c>
      <c r="H71" s="71">
        <v>8000</v>
      </c>
      <c r="I71" s="37">
        <v>8</v>
      </c>
      <c r="J71" s="37">
        <v>10000</v>
      </c>
      <c r="K71" s="37">
        <f t="shared" ref="K71:K77" si="17">J71*I71</f>
        <v>80000</v>
      </c>
      <c r="L71" s="37">
        <v>7</v>
      </c>
      <c r="M71" s="37">
        <v>10000</v>
      </c>
      <c r="N71" s="37">
        <f>M71*L71</f>
        <v>70000</v>
      </c>
      <c r="O71" s="34">
        <f>E71+I71+L71</f>
        <v>15</v>
      </c>
      <c r="P71" s="37">
        <f t="shared" ref="P71:P78" si="18">F71+K71+N71</f>
        <v>150000</v>
      </c>
      <c r="Q71" s="35"/>
      <c r="R71" s="31"/>
    </row>
    <row r="72" spans="1:18" ht="12.5">
      <c r="A72" s="32"/>
      <c r="B72" s="33"/>
      <c r="C72" s="51" t="s">
        <v>245</v>
      </c>
      <c r="D72" s="37">
        <v>102824.5</v>
      </c>
      <c r="E72" s="37">
        <v>0</v>
      </c>
      <c r="F72" s="238">
        <v>0</v>
      </c>
      <c r="G72" s="352" t="s">
        <v>71</v>
      </c>
      <c r="H72" s="71">
        <v>5000</v>
      </c>
      <c r="I72" s="37">
        <v>3</v>
      </c>
      <c r="J72" s="37">
        <v>8000</v>
      </c>
      <c r="K72" s="37">
        <f>J72*I72</f>
        <v>24000</v>
      </c>
      <c r="L72" s="37">
        <v>5</v>
      </c>
      <c r="M72" s="37">
        <v>8000</v>
      </c>
      <c r="N72" s="37">
        <f>M72*L72</f>
        <v>40000</v>
      </c>
      <c r="O72" s="34">
        <f>E72+I72+L72</f>
        <v>8</v>
      </c>
      <c r="P72" s="37">
        <f t="shared" si="18"/>
        <v>64000</v>
      </c>
      <c r="Q72" s="35"/>
      <c r="R72" s="31"/>
    </row>
    <row r="73" spans="1:18" ht="12.5">
      <c r="A73" s="32"/>
      <c r="B73" s="33"/>
      <c r="C73" s="52"/>
      <c r="D73" s="37"/>
      <c r="E73" s="37">
        <v>0</v>
      </c>
      <c r="F73" s="238">
        <v>0</v>
      </c>
      <c r="G73" s="352"/>
      <c r="H73" s="71"/>
      <c r="I73" s="37"/>
      <c r="J73" s="37"/>
      <c r="K73" s="37"/>
      <c r="L73" s="37"/>
      <c r="M73" s="37"/>
      <c r="N73" s="37"/>
      <c r="O73" s="34"/>
      <c r="P73" s="37">
        <f t="shared" si="18"/>
        <v>0</v>
      </c>
      <c r="Q73" s="35"/>
      <c r="R73" s="31"/>
    </row>
    <row r="74" spans="1:18">
      <c r="A74" s="32"/>
      <c r="B74" s="33"/>
      <c r="C74" s="75" t="s">
        <v>70</v>
      </c>
      <c r="D74" s="37"/>
      <c r="E74" s="37"/>
      <c r="F74" s="238">
        <v>0</v>
      </c>
      <c r="G74" s="352"/>
      <c r="H74" s="71"/>
      <c r="I74" s="37"/>
      <c r="J74" s="37"/>
      <c r="K74" s="37"/>
      <c r="L74" s="37"/>
      <c r="M74" s="37"/>
      <c r="N74" s="37"/>
      <c r="O74" s="34"/>
      <c r="P74" s="37">
        <f t="shared" si="18"/>
        <v>0</v>
      </c>
      <c r="Q74" s="35"/>
      <c r="R74" s="31"/>
    </row>
    <row r="75" spans="1:18" ht="12.5">
      <c r="A75" s="32"/>
      <c r="B75" s="33"/>
      <c r="C75" s="52" t="s">
        <v>67</v>
      </c>
      <c r="D75" s="37">
        <v>31062.25</v>
      </c>
      <c r="E75" s="37">
        <v>1</v>
      </c>
      <c r="F75" s="238">
        <v>10038</v>
      </c>
      <c r="G75" s="352" t="s">
        <v>71</v>
      </c>
      <c r="H75" s="71">
        <v>10000</v>
      </c>
      <c r="I75" s="37">
        <v>1</v>
      </c>
      <c r="J75" s="37">
        <v>12000</v>
      </c>
      <c r="K75" s="37">
        <f t="shared" si="17"/>
        <v>12000</v>
      </c>
      <c r="L75" s="37">
        <v>1</v>
      </c>
      <c r="M75" s="37">
        <v>12000</v>
      </c>
      <c r="N75" s="37">
        <f>M75*L75</f>
        <v>12000</v>
      </c>
      <c r="O75" s="34">
        <f>E75+I75+L75</f>
        <v>3</v>
      </c>
      <c r="P75" s="37">
        <f t="shared" si="18"/>
        <v>34038</v>
      </c>
      <c r="Q75" s="35"/>
      <c r="R75" s="31"/>
    </row>
    <row r="76" spans="1:18" ht="12.5">
      <c r="A76" s="32"/>
      <c r="B76" s="33"/>
      <c r="C76" s="52" t="s">
        <v>69</v>
      </c>
      <c r="D76" s="37">
        <v>20350</v>
      </c>
      <c r="E76" s="37">
        <v>1</v>
      </c>
      <c r="F76" s="238">
        <v>17160</v>
      </c>
      <c r="G76" s="352" t="s">
        <v>71</v>
      </c>
      <c r="H76" s="71">
        <v>10000</v>
      </c>
      <c r="I76" s="37">
        <v>1</v>
      </c>
      <c r="J76" s="37">
        <v>12000</v>
      </c>
      <c r="K76" s="37">
        <f t="shared" si="17"/>
        <v>12000</v>
      </c>
      <c r="L76" s="37">
        <v>1</v>
      </c>
      <c r="M76" s="37">
        <v>12000</v>
      </c>
      <c r="N76" s="37">
        <f>M76*L76</f>
        <v>12000</v>
      </c>
      <c r="O76" s="34">
        <f>E76+I76+L76</f>
        <v>3</v>
      </c>
      <c r="P76" s="37">
        <f t="shared" si="18"/>
        <v>41160</v>
      </c>
      <c r="Q76" s="35"/>
      <c r="R76" s="31"/>
    </row>
    <row r="77" spans="1:18" ht="12.5">
      <c r="A77" s="32"/>
      <c r="B77" s="33"/>
      <c r="C77" s="52" t="s">
        <v>68</v>
      </c>
      <c r="D77" s="37">
        <v>20350</v>
      </c>
      <c r="E77" s="37">
        <v>1</v>
      </c>
      <c r="F77" s="238">
        <v>0</v>
      </c>
      <c r="G77" s="352" t="s">
        <v>71</v>
      </c>
      <c r="H77" s="71">
        <v>10000</v>
      </c>
      <c r="I77" s="37">
        <v>1</v>
      </c>
      <c r="J77" s="37">
        <v>12000</v>
      </c>
      <c r="K77" s="37">
        <f t="shared" si="17"/>
        <v>12000</v>
      </c>
      <c r="L77" s="37"/>
      <c r="M77" s="37"/>
      <c r="N77" s="37">
        <f>M77*L77</f>
        <v>0</v>
      </c>
      <c r="O77" s="34">
        <f>E77+I77+L77</f>
        <v>2</v>
      </c>
      <c r="P77" s="37">
        <f t="shared" si="18"/>
        <v>12000</v>
      </c>
      <c r="Q77" s="35"/>
      <c r="R77" s="31"/>
    </row>
    <row r="78" spans="1:18" ht="12.5">
      <c r="A78" s="32"/>
      <c r="B78" s="33"/>
      <c r="C78" s="52"/>
      <c r="D78" s="37"/>
      <c r="E78" s="37"/>
      <c r="F78" s="52"/>
      <c r="G78" s="352"/>
      <c r="H78" s="71"/>
      <c r="I78" s="37"/>
      <c r="J78" s="37"/>
      <c r="K78" s="37"/>
      <c r="L78" s="37"/>
      <c r="M78" s="37"/>
      <c r="N78" s="37"/>
      <c r="O78" s="34"/>
      <c r="P78" s="37">
        <f t="shared" si="18"/>
        <v>0</v>
      </c>
      <c r="Q78" s="35"/>
      <c r="R78" s="31"/>
    </row>
    <row r="79" spans="1:18" ht="12.5">
      <c r="A79" s="32"/>
      <c r="B79" s="33"/>
      <c r="C79" s="52"/>
      <c r="D79" s="37"/>
      <c r="E79" s="37"/>
      <c r="F79" s="52"/>
      <c r="G79" s="352"/>
      <c r="H79" s="71"/>
      <c r="I79" s="34"/>
      <c r="J79" s="34"/>
      <c r="K79" s="34"/>
      <c r="L79" s="34"/>
      <c r="M79" s="34"/>
      <c r="N79" s="34"/>
      <c r="O79" s="34"/>
      <c r="P79" s="37"/>
      <c r="Q79" s="35"/>
      <c r="R79" s="31"/>
    </row>
    <row r="80" spans="1:18" s="22" customFormat="1" ht="28.9" customHeight="1">
      <c r="A80" s="43">
        <v>8</v>
      </c>
      <c r="B80" s="44" t="s">
        <v>97</v>
      </c>
      <c r="C80" s="45" t="s">
        <v>81</v>
      </c>
      <c r="D80" s="48">
        <f>SUM(D81:D85)</f>
        <v>259569.72500000001</v>
      </c>
      <c r="E80" s="48"/>
      <c r="F80" s="48">
        <f>SUM(F81:F85)</f>
        <v>0</v>
      </c>
      <c r="G80" s="46" t="s">
        <v>20</v>
      </c>
      <c r="H80" s="70"/>
      <c r="I80" s="47"/>
      <c r="J80" s="47"/>
      <c r="K80" s="48">
        <f>SUM(K81:K85)</f>
        <v>125000</v>
      </c>
      <c r="L80" s="47"/>
      <c r="M80" s="47"/>
      <c r="N80" s="48">
        <f>SUM(N81:N85)</f>
        <v>115000</v>
      </c>
      <c r="O80" s="47"/>
      <c r="P80" s="48">
        <f>SUM(P81:P85)</f>
        <v>240000</v>
      </c>
      <c r="Q80" s="49"/>
      <c r="R80" s="50"/>
    </row>
    <row r="81" spans="1:18" ht="25">
      <c r="A81" s="32"/>
      <c r="B81" s="33"/>
      <c r="C81" s="51" t="s">
        <v>80</v>
      </c>
      <c r="D81" s="37">
        <v>25000</v>
      </c>
      <c r="E81" s="37">
        <v>0</v>
      </c>
      <c r="F81" s="238">
        <v>0</v>
      </c>
      <c r="G81" s="352" t="s">
        <v>71</v>
      </c>
      <c r="H81" s="71">
        <v>25000</v>
      </c>
      <c r="I81" s="37">
        <v>1</v>
      </c>
      <c r="J81" s="37">
        <v>40000</v>
      </c>
      <c r="K81" s="37">
        <f>J81*I81</f>
        <v>40000</v>
      </c>
      <c r="L81" s="37"/>
      <c r="M81" s="37">
        <v>0</v>
      </c>
      <c r="N81" s="37">
        <f>M79*L81</f>
        <v>0</v>
      </c>
      <c r="O81" s="34">
        <f>E81+I81+L81</f>
        <v>1</v>
      </c>
      <c r="P81" s="37">
        <f>F81+K81+N81</f>
        <v>40000</v>
      </c>
      <c r="Q81" s="35"/>
      <c r="R81" s="31"/>
    </row>
    <row r="82" spans="1:18" ht="12.5">
      <c r="A82" s="32"/>
      <c r="B82" s="33"/>
      <c r="C82" s="51" t="s">
        <v>110</v>
      </c>
      <c r="D82" s="37">
        <v>51412.25</v>
      </c>
      <c r="E82" s="37">
        <v>0</v>
      </c>
      <c r="F82" s="238">
        <v>0</v>
      </c>
      <c r="G82" s="352" t="s">
        <v>71</v>
      </c>
      <c r="H82" s="71">
        <v>5000</v>
      </c>
      <c r="I82" s="37">
        <v>1</v>
      </c>
      <c r="J82" s="37">
        <v>10000</v>
      </c>
      <c r="K82" s="37">
        <f>J82*I82</f>
        <v>10000</v>
      </c>
      <c r="L82" s="37">
        <v>1</v>
      </c>
      <c r="M82" s="37">
        <v>10000</v>
      </c>
      <c r="N82" s="37">
        <f>M82*L82</f>
        <v>10000</v>
      </c>
      <c r="O82" s="34">
        <f>E82+I82+L82</f>
        <v>2</v>
      </c>
      <c r="P82" s="37">
        <f>F82+K82+N82</f>
        <v>20000</v>
      </c>
      <c r="Q82" s="35"/>
      <c r="R82" s="31"/>
    </row>
    <row r="83" spans="1:18" ht="25">
      <c r="A83" s="32"/>
      <c r="B83" s="33"/>
      <c r="C83" s="51" t="s">
        <v>111</v>
      </c>
      <c r="D83" s="37">
        <v>34168.474999999999</v>
      </c>
      <c r="E83" s="37">
        <v>0</v>
      </c>
      <c r="F83" s="238">
        <v>0</v>
      </c>
      <c r="G83" s="352" t="s">
        <v>71</v>
      </c>
      <c r="H83" s="71"/>
      <c r="I83" s="37">
        <v>2</v>
      </c>
      <c r="J83" s="37">
        <v>20000</v>
      </c>
      <c r="K83" s="37">
        <f>J83*I83</f>
        <v>40000</v>
      </c>
      <c r="L83" s="37">
        <v>1</v>
      </c>
      <c r="M83" s="37">
        <v>20000</v>
      </c>
      <c r="N83" s="37">
        <f>M83*L83</f>
        <v>20000</v>
      </c>
      <c r="O83" s="34">
        <f>E83+I83+L83</f>
        <v>3</v>
      </c>
      <c r="P83" s="37">
        <f>F83+K83+N83</f>
        <v>60000</v>
      </c>
      <c r="Q83" s="35"/>
      <c r="R83" s="31"/>
    </row>
    <row r="84" spans="1:18" ht="12.5">
      <c r="A84" s="32"/>
      <c r="B84" s="33"/>
      <c r="C84" s="228" t="s">
        <v>114</v>
      </c>
      <c r="D84" s="37">
        <v>118464</v>
      </c>
      <c r="E84" s="37">
        <v>0</v>
      </c>
      <c r="F84" s="238">
        <v>0</v>
      </c>
      <c r="G84" s="352" t="s">
        <v>71</v>
      </c>
      <c r="H84" s="71">
        <v>14000</v>
      </c>
      <c r="I84" s="37">
        <v>1</v>
      </c>
      <c r="J84" s="71">
        <v>15000</v>
      </c>
      <c r="K84" s="37">
        <f>J84*I84</f>
        <v>15000</v>
      </c>
      <c r="L84" s="37">
        <v>3</v>
      </c>
      <c r="M84" s="71">
        <v>15000</v>
      </c>
      <c r="N84" s="37">
        <f>M84*L84</f>
        <v>45000</v>
      </c>
      <c r="O84" s="34">
        <f>E84+I84+L84</f>
        <v>4</v>
      </c>
      <c r="P84" s="37">
        <f>F84+K84+N84</f>
        <v>60000</v>
      </c>
      <c r="Q84" s="35"/>
      <c r="R84" s="31"/>
    </row>
    <row r="85" spans="1:18" ht="12.5">
      <c r="A85" s="32"/>
      <c r="B85" s="33"/>
      <c r="C85" s="52" t="s">
        <v>112</v>
      </c>
      <c r="D85" s="37">
        <v>30525</v>
      </c>
      <c r="E85" s="37">
        <v>0</v>
      </c>
      <c r="F85" s="238">
        <v>0</v>
      </c>
      <c r="G85" s="352" t="s">
        <v>71</v>
      </c>
      <c r="H85" s="71">
        <v>15000</v>
      </c>
      <c r="I85" s="37">
        <v>1</v>
      </c>
      <c r="J85" s="71">
        <v>20000</v>
      </c>
      <c r="K85" s="37">
        <f>J85*I85</f>
        <v>20000</v>
      </c>
      <c r="L85" s="37">
        <v>2</v>
      </c>
      <c r="M85" s="71">
        <v>20000</v>
      </c>
      <c r="N85" s="37">
        <f>M85*L85</f>
        <v>40000</v>
      </c>
      <c r="O85" s="34">
        <f>E85+I85+L85</f>
        <v>3</v>
      </c>
      <c r="P85" s="37">
        <f>F85+K85+N85</f>
        <v>60000</v>
      </c>
      <c r="Q85" s="35"/>
      <c r="R85" s="31"/>
    </row>
    <row r="86" spans="1:18" ht="17.5" customHeight="1">
      <c r="A86" s="32"/>
      <c r="B86" s="33"/>
      <c r="C86" s="52"/>
      <c r="D86" s="37"/>
      <c r="E86" s="37"/>
      <c r="F86" s="238">
        <v>0</v>
      </c>
      <c r="G86" s="352"/>
      <c r="H86" s="71"/>
      <c r="I86" s="37"/>
      <c r="J86" s="37"/>
      <c r="K86" s="37"/>
      <c r="L86" s="37"/>
      <c r="M86" s="37"/>
      <c r="N86" s="37"/>
      <c r="O86" s="34"/>
      <c r="P86" s="37"/>
      <c r="Q86" s="35"/>
      <c r="R86" s="31"/>
    </row>
    <row r="87" spans="1:18" s="22" customFormat="1" ht="28.9" customHeight="1">
      <c r="A87" s="43">
        <v>9</v>
      </c>
      <c r="B87" s="44" t="s">
        <v>94</v>
      </c>
      <c r="C87" s="45" t="s">
        <v>57</v>
      </c>
      <c r="D87" s="48">
        <f>SUM(D88:D88)</f>
        <v>205626.21250000037</v>
      </c>
      <c r="E87" s="48"/>
      <c r="F87" s="48">
        <f>SUM(F88:F88)</f>
        <v>0</v>
      </c>
      <c r="G87" s="46" t="s">
        <v>39</v>
      </c>
      <c r="H87" s="70"/>
      <c r="I87" s="47"/>
      <c r="J87" s="47"/>
      <c r="K87" s="48">
        <f>SUM(K88:K88)</f>
        <v>86250</v>
      </c>
      <c r="L87" s="47"/>
      <c r="M87" s="47"/>
      <c r="N87" s="48">
        <f>SUM(N88:N88)</f>
        <v>57730</v>
      </c>
      <c r="O87" s="47"/>
      <c r="P87" s="48">
        <f>SUM(P88:P88)</f>
        <v>143980</v>
      </c>
      <c r="Q87" s="49"/>
      <c r="R87" s="50"/>
    </row>
    <row r="88" spans="1:18" ht="28.9" customHeight="1">
      <c r="A88" s="32"/>
      <c r="B88" s="33"/>
      <c r="C88" s="52" t="s">
        <v>88</v>
      </c>
      <c r="D88" s="37">
        <v>205626.21250000037</v>
      </c>
      <c r="E88" s="37">
        <v>24</v>
      </c>
      <c r="F88" s="238">
        <v>0</v>
      </c>
      <c r="G88" s="352" t="s">
        <v>72</v>
      </c>
      <c r="H88" s="71">
        <v>199.97783845289825</v>
      </c>
      <c r="I88" s="34">
        <v>375</v>
      </c>
      <c r="J88" s="37">
        <v>230</v>
      </c>
      <c r="K88" s="37">
        <f>J88*I88</f>
        <v>86250</v>
      </c>
      <c r="L88" s="34">
        <v>251</v>
      </c>
      <c r="M88" s="37">
        <v>230</v>
      </c>
      <c r="N88" s="37">
        <f>M88*L88</f>
        <v>57730</v>
      </c>
      <c r="O88" s="34">
        <f>E88+I88+L88</f>
        <v>650</v>
      </c>
      <c r="P88" s="37">
        <f>F88+K88+N88</f>
        <v>143980</v>
      </c>
      <c r="Q88" s="79"/>
      <c r="R88" s="31"/>
    </row>
    <row r="89" spans="1:18" ht="50.5" customHeight="1">
      <c r="A89" s="43">
        <v>10</v>
      </c>
      <c r="B89" s="226" t="s">
        <v>243</v>
      </c>
      <c r="C89" s="227" t="s">
        <v>182</v>
      </c>
      <c r="D89" s="48">
        <f>SUM(D90:D90)</f>
        <v>558000</v>
      </c>
      <c r="E89" s="48"/>
      <c r="F89" s="48">
        <f>SUM(F90:F90)</f>
        <v>563022</v>
      </c>
      <c r="G89" s="46" t="s">
        <v>39</v>
      </c>
      <c r="H89" s="70"/>
      <c r="I89" s="232"/>
      <c r="J89" s="233"/>
      <c r="K89" s="48">
        <f>SUM(K90:K90)</f>
        <v>0</v>
      </c>
      <c r="L89" s="232"/>
      <c r="M89" s="233"/>
      <c r="N89" s="48">
        <f>SUM(N90:N90)</f>
        <v>0</v>
      </c>
      <c r="O89" s="232"/>
      <c r="P89" s="48">
        <f>SUM(P90:P90)</f>
        <v>563022</v>
      </c>
      <c r="Q89" s="234"/>
      <c r="R89" s="31"/>
    </row>
    <row r="90" spans="1:18" ht="28.9" customHeight="1">
      <c r="A90" s="32"/>
      <c r="B90" s="33"/>
      <c r="C90" s="228" t="s">
        <v>183</v>
      </c>
      <c r="D90" s="238">
        <v>558000</v>
      </c>
      <c r="E90" s="37">
        <v>62</v>
      </c>
      <c r="F90" s="238">
        <v>563022</v>
      </c>
      <c r="G90" s="352" t="s">
        <v>72</v>
      </c>
      <c r="H90" s="71">
        <f>4500*2</f>
        <v>9000</v>
      </c>
      <c r="I90" s="34"/>
      <c r="J90" s="37"/>
      <c r="K90" s="37"/>
      <c r="L90" s="34"/>
      <c r="M90" s="37"/>
      <c r="N90" s="37"/>
      <c r="O90" s="34">
        <f>E90+I90+L90</f>
        <v>62</v>
      </c>
      <c r="P90" s="37">
        <f>F90+K90+N90</f>
        <v>563022</v>
      </c>
      <c r="Q90" s="79"/>
      <c r="R90" s="31"/>
    </row>
    <row r="91" spans="1:18" ht="17.5" customHeight="1">
      <c r="A91" s="32"/>
      <c r="B91" s="33"/>
      <c r="C91" s="52"/>
      <c r="D91" s="37"/>
      <c r="E91" s="37"/>
      <c r="F91" s="37"/>
      <c r="I91" s="37"/>
      <c r="J91" s="37"/>
      <c r="K91" s="37"/>
      <c r="L91" s="37"/>
      <c r="M91" s="37"/>
      <c r="N91" s="37"/>
      <c r="O91" s="34"/>
      <c r="P91" s="37"/>
      <c r="Q91" s="35"/>
      <c r="R91" s="31"/>
    </row>
    <row r="92" spans="1:18" ht="20.149999999999999" customHeight="1">
      <c r="A92" s="375"/>
      <c r="B92" s="376"/>
      <c r="C92" s="377" t="s">
        <v>55</v>
      </c>
      <c r="D92" s="378">
        <f>D89+D87+D80+D70+D60+D56+D51+D47+D39+D31+D28+D20+D13</f>
        <v>9157999.6999999993</v>
      </c>
      <c r="E92" s="377"/>
      <c r="F92" s="378">
        <f>F89+F87+F80+F70+F60+F56+F51+F47+F39+F31+F28+F20+F13</f>
        <v>3007035.1799999997</v>
      </c>
      <c r="G92" s="377"/>
      <c r="H92" s="377"/>
      <c r="I92" s="378"/>
      <c r="J92" s="378"/>
      <c r="K92" s="378">
        <f>SUM(K89,K87,K80,K70,K60,K56,K51,K47,K39,K31,K28, K13,K20)</f>
        <v>4227425</v>
      </c>
      <c r="L92" s="378"/>
      <c r="M92" s="378"/>
      <c r="N92" s="378">
        <f>N89+N87+N80+N70+N60+N56+N51+N47+N39+N31+N28+N20+N13</f>
        <v>4091836.125</v>
      </c>
      <c r="O92" s="378"/>
      <c r="P92" s="378">
        <f>P89+P87+P80+P70+P60+P56+P51+P47+P39+P31+P28+P20+P13</f>
        <v>11326296.305</v>
      </c>
      <c r="Q92" s="379"/>
      <c r="R92" s="31"/>
    </row>
    <row r="93" spans="1:18" s="257" customFormat="1">
      <c r="A93" s="23"/>
      <c r="B93" s="23"/>
      <c r="D93" s="380"/>
      <c r="E93" s="381"/>
      <c r="G93" s="382"/>
      <c r="H93" s="67"/>
      <c r="I93" s="383"/>
      <c r="J93" s="383"/>
      <c r="K93" s="383"/>
      <c r="L93" s="383"/>
      <c r="M93" s="383"/>
      <c r="N93" s="383"/>
      <c r="O93" s="383"/>
      <c r="P93" s="383"/>
    </row>
    <row r="94" spans="1:18" s="257" customFormat="1">
      <c r="A94" s="23"/>
      <c r="B94" s="23"/>
      <c r="D94" s="380">
        <f>SUM(D13:D91)/2</f>
        <v>9157999.6999999993</v>
      </c>
      <c r="E94" s="384"/>
      <c r="F94" s="380">
        <f>SUM(F13:F91)/2</f>
        <v>3007035.18</v>
      </c>
      <c r="G94" s="382"/>
      <c r="H94" s="67"/>
      <c r="I94" s="383"/>
      <c r="J94" s="383"/>
      <c r="K94" s="380">
        <f>SUM(K13:K91)/2</f>
        <v>4227425</v>
      </c>
      <c r="L94" s="383"/>
      <c r="M94" s="383"/>
      <c r="N94" s="380">
        <f>SUM(N13:N91)/2</f>
        <v>4091836.125</v>
      </c>
      <c r="O94" s="383"/>
      <c r="P94" s="380">
        <f>SUM(P13:P91)/2</f>
        <v>11326296.305</v>
      </c>
    </row>
    <row r="95" spans="1:18">
      <c r="D95" s="362">
        <f>D92-D94</f>
        <v>0</v>
      </c>
      <c r="F95" s="362">
        <f>F92-F94</f>
        <v>0</v>
      </c>
      <c r="K95" s="362">
        <f>K92-K94</f>
        <v>0</v>
      </c>
      <c r="N95" s="362">
        <f>N92-N94</f>
        <v>0</v>
      </c>
      <c r="P95" s="362">
        <f>P92-P94</f>
        <v>0</v>
      </c>
    </row>
    <row r="106" spans="6:6">
      <c r="F106" s="159"/>
    </row>
    <row r="119" spans="6:6">
      <c r="F119" s="22" t="s">
        <v>156</v>
      </c>
    </row>
    <row r="120" spans="6:6">
      <c r="F120" s="22"/>
    </row>
    <row r="121" spans="6:6">
      <c r="F121" s="22"/>
    </row>
    <row r="122" spans="6:6">
      <c r="F122" s="22"/>
    </row>
    <row r="123" spans="6:6">
      <c r="F123" s="22" t="s">
        <v>176</v>
      </c>
    </row>
    <row r="124" spans="6:6">
      <c r="F124" s="22" t="s">
        <v>177</v>
      </c>
    </row>
    <row r="125" spans="6:6">
      <c r="F125" s="22" t="s">
        <v>91</v>
      </c>
    </row>
    <row r="126" spans="6:6">
      <c r="F126" s="22"/>
    </row>
    <row r="127" spans="6:6">
      <c r="F127" s="22"/>
    </row>
  </sheetData>
  <mergeCells count="7">
    <mergeCell ref="B1:D1"/>
    <mergeCell ref="O11:P11"/>
    <mergeCell ref="K7:M7"/>
    <mergeCell ref="I1:N1"/>
    <mergeCell ref="I11:K11"/>
    <mergeCell ref="L11:N11"/>
    <mergeCell ref="H3:I3"/>
  </mergeCells>
  <printOptions horizontalCentered="1"/>
  <pageMargins left="0.2" right="0.2" top="0.5" bottom="0.5" header="0.3" footer="0.3"/>
  <pageSetup paperSize="9" scale="59" orientation="landscape" errors="dash" r:id="rId1"/>
  <headerFooter>
    <oddFooter>Page &amp;P of &amp;N</oddFooter>
  </headerFooter>
  <rowBreaks count="1" manualBreakCount="1">
    <brk id="55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8AF9-53D2-4295-84BA-893267CCA4A7}">
  <sheetPr>
    <tabColor theme="6" tint="-0.249977111117893"/>
  </sheetPr>
  <dimension ref="A1:R99"/>
  <sheetViews>
    <sheetView showGridLines="0" zoomScale="98" zoomScaleNormal="98" zoomScaleSheetLayoutView="132" workbookViewId="0">
      <pane xSplit="4" ySplit="12" topLeftCell="E13" activePane="bottomRight" state="frozen"/>
      <selection pane="topRight" activeCell="F1" sqref="F1"/>
      <selection pane="bottomLeft" activeCell="A9" sqref="A9"/>
      <selection pane="bottomRight" activeCell="C15" sqref="C15"/>
    </sheetView>
  </sheetViews>
  <sheetFormatPr defaultColWidth="9.08984375" defaultRowHeight="13"/>
  <cols>
    <col min="1" max="1" width="6.36328125" style="259" customWidth="1"/>
    <col min="2" max="2" width="12" style="259" customWidth="1"/>
    <col min="3" max="3" width="53" style="261" customWidth="1"/>
    <col min="4" max="4" width="11.36328125" style="259" customWidth="1"/>
    <col min="5" max="5" width="10.6328125" style="65" customWidth="1"/>
    <col min="6" max="6" width="9.08984375" style="264" bestFit="1" customWidth="1"/>
    <col min="7" max="8" width="11.453125" style="264" bestFit="1" customWidth="1"/>
    <col min="9" max="9" width="10.453125" style="264" bestFit="1" customWidth="1"/>
    <col min="10" max="10" width="10.08984375" style="264" customWidth="1"/>
    <col min="11" max="12" width="10.6328125" style="264" customWidth="1"/>
    <col min="13" max="13" width="9.90625" style="264" customWidth="1"/>
    <col min="14" max="14" width="10.453125" style="264" customWidth="1"/>
    <col min="15" max="15" width="11.453125" style="264" bestFit="1" customWidth="1"/>
    <col min="16" max="16" width="11.36328125" style="264" customWidth="1"/>
    <col min="17" max="17" width="29.6328125" style="261" bestFit="1" customWidth="1"/>
    <col min="18" max="18" width="12.36328125" style="261" customWidth="1"/>
    <col min="19" max="16384" width="9.08984375" style="261"/>
  </cols>
  <sheetData>
    <row r="1" spans="1:18" ht="18">
      <c r="B1" s="260"/>
      <c r="C1" s="260"/>
      <c r="F1" s="499" t="s">
        <v>197</v>
      </c>
      <c r="G1" s="499"/>
      <c r="H1" s="499"/>
      <c r="I1" s="499"/>
      <c r="J1" s="499"/>
      <c r="K1" s="499"/>
      <c r="L1" s="499"/>
      <c r="M1" s="499"/>
      <c r="N1" s="499"/>
      <c r="O1" s="260"/>
      <c r="P1" s="260"/>
      <c r="Q1" s="260"/>
    </row>
    <row r="2" spans="1:18">
      <c r="B2" s="260"/>
      <c r="C2" s="260"/>
      <c r="F2" s="315"/>
      <c r="G2" s="315"/>
      <c r="H2" s="315"/>
      <c r="I2" s="315"/>
      <c r="J2" s="315"/>
      <c r="K2" s="315"/>
      <c r="L2" s="316"/>
      <c r="M2" s="316"/>
      <c r="N2" s="316"/>
      <c r="O2" s="260"/>
      <c r="P2" s="260"/>
      <c r="Q2" s="260"/>
    </row>
    <row r="3" spans="1:18">
      <c r="A3" s="19" t="s">
        <v>24</v>
      </c>
      <c r="B3" s="19"/>
      <c r="C3" s="317" t="s">
        <v>91</v>
      </c>
      <c r="D3" s="318"/>
      <c r="F3" s="93"/>
      <c r="G3" s="93"/>
      <c r="H3" s="93" t="s">
        <v>64</v>
      </c>
      <c r="I3" s="319">
        <f>C7*30%</f>
        <v>2747400</v>
      </c>
      <c r="J3" s="320">
        <f>I3/C7</f>
        <v>0.3</v>
      </c>
      <c r="K3" s="93"/>
      <c r="L3" s="93"/>
      <c r="M3" s="93"/>
      <c r="N3" s="93"/>
      <c r="O3" s="21"/>
      <c r="P3" s="21"/>
    </row>
    <row r="4" spans="1:18">
      <c r="A4" s="264" t="s">
        <v>115</v>
      </c>
      <c r="B4" s="264"/>
      <c r="C4" s="321" t="s">
        <v>116</v>
      </c>
      <c r="F4" s="93"/>
      <c r="G4" s="93"/>
      <c r="H4" s="93" t="s">
        <v>65</v>
      </c>
      <c r="I4" s="319">
        <f>SUM(P14,P20)</f>
        <v>3730346.5750000002</v>
      </c>
      <c r="J4" s="320">
        <f>I4/C7</f>
        <v>0.40733201299410354</v>
      </c>
      <c r="K4" s="93"/>
      <c r="L4" s="322"/>
      <c r="M4" s="93"/>
      <c r="N4" s="319"/>
      <c r="O4" s="63"/>
      <c r="P4" s="21"/>
      <c r="Q4" s="323" t="s">
        <v>198</v>
      </c>
    </row>
    <row r="5" spans="1:18" ht="19.5" customHeight="1">
      <c r="A5" s="264" t="s">
        <v>43</v>
      </c>
      <c r="B5" s="264"/>
      <c r="C5" s="500" t="s">
        <v>44</v>
      </c>
      <c r="D5" s="501"/>
      <c r="E5" s="66"/>
      <c r="F5" s="93"/>
      <c r="G5" s="93"/>
      <c r="H5" s="93"/>
      <c r="I5" s="93"/>
      <c r="J5" s="93"/>
      <c r="K5" s="93"/>
      <c r="L5" s="324"/>
      <c r="M5" s="93"/>
      <c r="N5" s="324"/>
      <c r="O5" s="21"/>
    </row>
    <row r="6" spans="1:18" ht="19.5" customHeight="1">
      <c r="A6" s="264" t="s">
        <v>42</v>
      </c>
      <c r="B6" s="264"/>
      <c r="C6" s="388" t="s">
        <v>92</v>
      </c>
      <c r="E6" s="67"/>
      <c r="F6" s="93"/>
      <c r="G6" s="93"/>
      <c r="H6" s="93"/>
      <c r="I6" s="93"/>
      <c r="J6" s="93"/>
      <c r="K6" s="93"/>
      <c r="L6" s="324"/>
      <c r="M6" s="93"/>
      <c r="N6" s="93"/>
      <c r="O6" s="21"/>
    </row>
    <row r="7" spans="1:18">
      <c r="A7" s="264" t="s">
        <v>199</v>
      </c>
      <c r="B7" s="264"/>
      <c r="C7" s="325">
        <f>P92</f>
        <v>9158000</v>
      </c>
      <c r="F7" s="326"/>
      <c r="G7" s="93"/>
      <c r="H7" s="327"/>
      <c r="I7" s="327"/>
      <c r="J7" s="93"/>
      <c r="K7" s="502"/>
      <c r="L7" s="503"/>
      <c r="M7" s="503"/>
      <c r="N7" s="93"/>
      <c r="O7" s="21"/>
    </row>
    <row r="8" spans="1:18">
      <c r="A8" s="264" t="s">
        <v>49</v>
      </c>
      <c r="B8" s="264"/>
      <c r="C8" s="328" t="s">
        <v>93</v>
      </c>
      <c r="F8" s="329"/>
      <c r="G8" s="329"/>
      <c r="H8" s="329"/>
      <c r="I8" s="329"/>
      <c r="J8" s="329"/>
      <c r="K8" s="329"/>
      <c r="L8" s="329"/>
      <c r="M8" s="329"/>
      <c r="N8" s="329"/>
      <c r="O8" s="24"/>
      <c r="P8" s="25"/>
    </row>
    <row r="9" spans="1:18">
      <c r="A9" s="21"/>
      <c r="B9" s="264"/>
      <c r="F9" s="329"/>
      <c r="G9" s="329"/>
      <c r="H9" s="330">
        <v>1000</v>
      </c>
      <c r="I9" s="329"/>
      <c r="J9" s="331">
        <v>1.0349999999999999</v>
      </c>
      <c r="K9" s="329"/>
      <c r="L9" s="329"/>
      <c r="M9" s="329"/>
      <c r="N9" s="329"/>
      <c r="O9" s="24"/>
      <c r="P9" s="25"/>
    </row>
    <row r="10" spans="1:18">
      <c r="A10" s="264"/>
      <c r="B10" s="264"/>
      <c r="F10" s="329"/>
      <c r="G10" s="329"/>
      <c r="H10" s="329"/>
      <c r="I10" s="329"/>
      <c r="J10" s="329"/>
      <c r="K10" s="329"/>
      <c r="L10" s="329"/>
      <c r="M10" s="329"/>
      <c r="N10" s="329"/>
      <c r="O10" s="24"/>
      <c r="P10" s="25"/>
    </row>
    <row r="11" spans="1:18" ht="3.65" customHeight="1" thickBot="1">
      <c r="A11" s="264"/>
      <c r="B11" s="26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1:18" s="259" customFormat="1" ht="26.4" customHeight="1" thickBot="1">
      <c r="A12" s="332" t="s">
        <v>21</v>
      </c>
      <c r="B12" s="333" t="s">
        <v>18</v>
      </c>
      <c r="C12" s="28" t="s">
        <v>37</v>
      </c>
      <c r="D12" s="28" t="s">
        <v>19</v>
      </c>
      <c r="E12" s="504" t="s">
        <v>36</v>
      </c>
      <c r="F12" s="506" t="s">
        <v>50</v>
      </c>
      <c r="G12" s="507"/>
      <c r="H12" s="508"/>
      <c r="I12" s="506" t="s">
        <v>200</v>
      </c>
      <c r="J12" s="507"/>
      <c r="K12" s="508"/>
      <c r="L12" s="506" t="s">
        <v>85</v>
      </c>
      <c r="M12" s="507"/>
      <c r="N12" s="508"/>
      <c r="O12" s="490" t="s">
        <v>201</v>
      </c>
      <c r="P12" s="491"/>
      <c r="Q12" s="334" t="s">
        <v>16</v>
      </c>
    </row>
    <row r="13" spans="1:18" ht="13.5" thickBot="1">
      <c r="A13" s="335">
        <v>1</v>
      </c>
      <c r="B13" s="336"/>
      <c r="C13" s="337" t="s">
        <v>45</v>
      </c>
      <c r="D13" s="338" t="s">
        <v>31</v>
      </c>
      <c r="E13" s="505"/>
      <c r="F13" s="339" t="s">
        <v>51</v>
      </c>
      <c r="G13" s="339" t="s">
        <v>36</v>
      </c>
      <c r="H13" s="339" t="s">
        <v>35</v>
      </c>
      <c r="I13" s="339" t="s">
        <v>51</v>
      </c>
      <c r="J13" s="339" t="s">
        <v>36</v>
      </c>
      <c r="K13" s="339" t="s">
        <v>35</v>
      </c>
      <c r="L13" s="339" t="s">
        <v>51</v>
      </c>
      <c r="M13" s="339" t="s">
        <v>36</v>
      </c>
      <c r="N13" s="339" t="s">
        <v>35</v>
      </c>
      <c r="O13" s="339" t="s">
        <v>34</v>
      </c>
      <c r="P13" s="339" t="s">
        <v>35</v>
      </c>
      <c r="Q13" s="340"/>
      <c r="R13" s="267"/>
    </row>
    <row r="14" spans="1:18" s="264" customFormat="1" ht="21.65" customHeight="1">
      <c r="A14" s="275"/>
      <c r="B14" s="276" t="s">
        <v>94</v>
      </c>
      <c r="C14" s="45" t="s">
        <v>29</v>
      </c>
      <c r="D14" s="46"/>
      <c r="E14" s="70"/>
      <c r="F14" s="47"/>
      <c r="G14" s="47"/>
      <c r="H14" s="48">
        <f>SUM(H15:H18)</f>
        <v>1235000</v>
      </c>
      <c r="I14" s="47"/>
      <c r="J14" s="47"/>
      <c r="K14" s="48">
        <f>SUM(K15:K18)</f>
        <v>1278224.9999999998</v>
      </c>
      <c r="L14" s="47"/>
      <c r="M14" s="47"/>
      <c r="N14" s="48">
        <f>SUM(N15:N18)</f>
        <v>610598.24999999977</v>
      </c>
      <c r="O14" s="47"/>
      <c r="P14" s="48">
        <f>SUM(P15:P18)</f>
        <v>3123823.25</v>
      </c>
      <c r="Q14" s="341"/>
      <c r="R14" s="342"/>
    </row>
    <row r="15" spans="1:18" ht="12.5">
      <c r="A15" s="278"/>
      <c r="B15" s="279"/>
      <c r="C15" s="284" t="s">
        <v>90</v>
      </c>
      <c r="D15" s="343" t="s">
        <v>31</v>
      </c>
      <c r="E15" s="68">
        <v>50000</v>
      </c>
      <c r="F15" s="34">
        <v>13</v>
      </c>
      <c r="G15" s="34">
        <f>E15</f>
        <v>50000</v>
      </c>
      <c r="H15" s="37">
        <f>F15*G15</f>
        <v>650000</v>
      </c>
      <c r="I15" s="37">
        <f>F15</f>
        <v>13</v>
      </c>
      <c r="J15" s="37">
        <f>E15*$J$9</f>
        <v>51749.999999999993</v>
      </c>
      <c r="K15" s="37">
        <f>J15*I15</f>
        <v>672749.99999999988</v>
      </c>
      <c r="L15" s="37">
        <v>6</v>
      </c>
      <c r="M15" s="37">
        <f>J15*$J$9</f>
        <v>53561.249999999985</v>
      </c>
      <c r="N15" s="37">
        <f>M15*L15</f>
        <v>321367.49999999988</v>
      </c>
      <c r="O15" s="34">
        <f>SUM(F15,I15,L15)</f>
        <v>32</v>
      </c>
      <c r="P15" s="37">
        <f>SUM(H15,K15,N15)</f>
        <v>1644117.5</v>
      </c>
      <c r="Q15" s="344"/>
      <c r="R15" s="267"/>
    </row>
    <row r="16" spans="1:18" ht="12.5">
      <c r="A16" s="278"/>
      <c r="B16" s="279"/>
      <c r="C16" s="284" t="s">
        <v>113</v>
      </c>
      <c r="D16" s="343" t="s">
        <v>31</v>
      </c>
      <c r="E16" s="68">
        <v>5000</v>
      </c>
      <c r="F16" s="34">
        <v>13</v>
      </c>
      <c r="G16" s="34">
        <f>E16</f>
        <v>5000</v>
      </c>
      <c r="H16" s="37">
        <f>F16*G16</f>
        <v>65000</v>
      </c>
      <c r="I16" s="37">
        <f>F16</f>
        <v>13</v>
      </c>
      <c r="J16" s="37">
        <f>E16*$J$9</f>
        <v>5175</v>
      </c>
      <c r="K16" s="37">
        <f>J16*I16</f>
        <v>67275</v>
      </c>
      <c r="L16" s="37">
        <v>6</v>
      </c>
      <c r="M16" s="37">
        <f>J16*$J$9</f>
        <v>5356.125</v>
      </c>
      <c r="N16" s="37">
        <f>M16*L16</f>
        <v>32136.75</v>
      </c>
      <c r="O16" s="34">
        <f>SUM(F16,I16,L16)</f>
        <v>32</v>
      </c>
      <c r="P16" s="37">
        <f>SUM(H16,K16,N16)</f>
        <v>164411.75</v>
      </c>
      <c r="Q16" s="344"/>
      <c r="R16" s="267"/>
    </row>
    <row r="17" spans="1:18" ht="12.5">
      <c r="A17" s="278"/>
      <c r="B17" s="279"/>
      <c r="C17" s="284" t="s">
        <v>89</v>
      </c>
      <c r="D17" s="343" t="s">
        <v>31</v>
      </c>
      <c r="E17" s="68">
        <v>30000</v>
      </c>
      <c r="F17" s="34">
        <v>13</v>
      </c>
      <c r="G17" s="34">
        <f>E17</f>
        <v>30000</v>
      </c>
      <c r="H17" s="37">
        <f>F17*G17</f>
        <v>390000</v>
      </c>
      <c r="I17" s="37">
        <f>F17</f>
        <v>13</v>
      </c>
      <c r="J17" s="37">
        <f>E17*$J$9</f>
        <v>31049.999999999996</v>
      </c>
      <c r="K17" s="37">
        <f>J17*I17</f>
        <v>403649.99999999994</v>
      </c>
      <c r="L17" s="37">
        <v>6</v>
      </c>
      <c r="M17" s="37">
        <f>J17*$J$9</f>
        <v>32136.749999999993</v>
      </c>
      <c r="N17" s="37">
        <f>M17*L17</f>
        <v>192820.49999999994</v>
      </c>
      <c r="O17" s="34">
        <f>SUM(F17,I17,L17)</f>
        <v>32</v>
      </c>
      <c r="P17" s="37">
        <f>SUM(H17,K17,N17)</f>
        <v>986470.5</v>
      </c>
      <c r="Q17" s="344"/>
      <c r="R17" s="267"/>
    </row>
    <row r="18" spans="1:18" ht="12.5">
      <c r="A18" s="278"/>
      <c r="B18" s="279"/>
      <c r="C18" s="284" t="s">
        <v>25</v>
      </c>
      <c r="D18" s="343" t="s">
        <v>31</v>
      </c>
      <c r="E18" s="68">
        <v>10000</v>
      </c>
      <c r="F18" s="34">
        <v>13</v>
      </c>
      <c r="G18" s="34">
        <f>E18</f>
        <v>10000</v>
      </c>
      <c r="H18" s="37">
        <f>F18*G18</f>
        <v>130000</v>
      </c>
      <c r="I18" s="37">
        <f>F18</f>
        <v>13</v>
      </c>
      <c r="J18" s="37">
        <f>E18*$J$9</f>
        <v>10350</v>
      </c>
      <c r="K18" s="37">
        <f>J18*I18</f>
        <v>134550</v>
      </c>
      <c r="L18" s="37">
        <v>6</v>
      </c>
      <c r="M18" s="37">
        <f>J18*$J$9</f>
        <v>10712.25</v>
      </c>
      <c r="N18" s="37">
        <f>M18*L18</f>
        <v>64273.5</v>
      </c>
      <c r="O18" s="34">
        <f>SUM(F18,I18,L18)</f>
        <v>32</v>
      </c>
      <c r="P18" s="37">
        <f>SUM(H18,K18,N18)</f>
        <v>328823.5</v>
      </c>
      <c r="Q18" s="344"/>
      <c r="R18" s="267"/>
    </row>
    <row r="19" spans="1:18" ht="12.5">
      <c r="A19" s="278"/>
      <c r="B19" s="279"/>
      <c r="C19" s="284"/>
      <c r="D19" s="343"/>
      <c r="E19" s="68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7"/>
      <c r="Q19" s="344"/>
      <c r="R19" s="267"/>
    </row>
    <row r="20" spans="1:18" s="264" customFormat="1" ht="21.65" customHeight="1">
      <c r="A20" s="275"/>
      <c r="B20" s="276" t="s">
        <v>94</v>
      </c>
      <c r="C20" s="45" t="s">
        <v>30</v>
      </c>
      <c r="D20" s="46"/>
      <c r="E20" s="70"/>
      <c r="F20" s="47"/>
      <c r="G20" s="47"/>
      <c r="H20" s="48">
        <f>SUM(H21:H25)</f>
        <v>239000</v>
      </c>
      <c r="I20" s="47"/>
      <c r="J20" s="47"/>
      <c r="K20" s="48">
        <f>SUM(K21:K25)</f>
        <v>242190</v>
      </c>
      <c r="L20" s="47"/>
      <c r="M20" s="47"/>
      <c r="N20" s="48">
        <f>SUM(N21:N25)</f>
        <v>125333.325</v>
      </c>
      <c r="O20" s="47"/>
      <c r="P20" s="48">
        <f t="shared" ref="P20:P25" si="0">SUM(H20,K20,N20)</f>
        <v>606523.32499999995</v>
      </c>
      <c r="Q20" s="341"/>
      <c r="R20" s="342"/>
    </row>
    <row r="21" spans="1:18" ht="12.5">
      <c r="A21" s="278"/>
      <c r="B21" s="279"/>
      <c r="C21" s="284" t="s">
        <v>26</v>
      </c>
      <c r="D21" s="343" t="s">
        <v>31</v>
      </c>
      <c r="E21" s="68">
        <v>10000</v>
      </c>
      <c r="F21" s="34">
        <v>12</v>
      </c>
      <c r="G21" s="34">
        <f>E21</f>
        <v>10000</v>
      </c>
      <c r="H21" s="37">
        <f>G21*F21</f>
        <v>120000</v>
      </c>
      <c r="I21" s="37">
        <v>12</v>
      </c>
      <c r="J21" s="37">
        <f>E21*$J$9</f>
        <v>10350</v>
      </c>
      <c r="K21" s="37">
        <f>J21*I21</f>
        <v>124200</v>
      </c>
      <c r="L21" s="37">
        <v>6</v>
      </c>
      <c r="M21" s="37">
        <f>J21*$J$9</f>
        <v>10712.25</v>
      </c>
      <c r="N21" s="37">
        <f>M21*L21</f>
        <v>64273.5</v>
      </c>
      <c r="O21" s="34">
        <f>SUM(F21,I21,L21)</f>
        <v>30</v>
      </c>
      <c r="P21" s="37">
        <f t="shared" si="0"/>
        <v>308473.5</v>
      </c>
      <c r="Q21" s="344" t="s">
        <v>202</v>
      </c>
      <c r="R21" s="267"/>
    </row>
    <row r="22" spans="1:18" ht="12.5">
      <c r="A22" s="278"/>
      <c r="B22" s="279"/>
      <c r="C22" s="284" t="s">
        <v>27</v>
      </c>
      <c r="D22" s="343" t="s">
        <v>31</v>
      </c>
      <c r="E22" s="68">
        <v>2000</v>
      </c>
      <c r="F22" s="34">
        <v>12</v>
      </c>
      <c r="G22" s="34">
        <f>E22</f>
        <v>2000</v>
      </c>
      <c r="H22" s="37">
        <f>G22*F22</f>
        <v>24000</v>
      </c>
      <c r="I22" s="37">
        <v>12</v>
      </c>
      <c r="J22" s="37">
        <f>E22*$J$9</f>
        <v>2070</v>
      </c>
      <c r="K22" s="37">
        <f>J22*I22</f>
        <v>24840</v>
      </c>
      <c r="L22" s="37">
        <v>6</v>
      </c>
      <c r="M22" s="37">
        <f>J22*$J$9</f>
        <v>2142.4499999999998</v>
      </c>
      <c r="N22" s="37">
        <f>M22*L22</f>
        <v>12854.699999999999</v>
      </c>
      <c r="O22" s="34">
        <f>SUM(F22,I22,L22)</f>
        <v>30</v>
      </c>
      <c r="P22" s="37">
        <f t="shared" si="0"/>
        <v>61694.7</v>
      </c>
      <c r="Q22" s="344"/>
      <c r="R22" s="267"/>
    </row>
    <row r="23" spans="1:18" ht="12.5">
      <c r="A23" s="278"/>
      <c r="B23" s="279"/>
      <c r="C23" s="284" t="s">
        <v>63</v>
      </c>
      <c r="D23" s="343" t="s">
        <v>31</v>
      </c>
      <c r="E23" s="68">
        <v>2500</v>
      </c>
      <c r="F23" s="34">
        <v>12</v>
      </c>
      <c r="G23" s="34">
        <f>E23</f>
        <v>2500</v>
      </c>
      <c r="H23" s="37">
        <f>G23*F23</f>
        <v>30000</v>
      </c>
      <c r="I23" s="37">
        <v>12</v>
      </c>
      <c r="J23" s="37">
        <f>E23*$J$9</f>
        <v>2587.5</v>
      </c>
      <c r="K23" s="37">
        <f>J23*I23</f>
        <v>31050</v>
      </c>
      <c r="L23" s="37">
        <v>6</v>
      </c>
      <c r="M23" s="37">
        <f>J23*$J$9</f>
        <v>2678.0625</v>
      </c>
      <c r="N23" s="37">
        <f>M23*L23</f>
        <v>16068.375</v>
      </c>
      <c r="O23" s="34">
        <f>SUM(F23,I23,L23)</f>
        <v>30</v>
      </c>
      <c r="P23" s="37">
        <f t="shared" si="0"/>
        <v>77118.375</v>
      </c>
      <c r="Q23" s="344"/>
      <c r="R23" s="267"/>
    </row>
    <row r="24" spans="1:18" ht="12.5">
      <c r="A24" s="278"/>
      <c r="B24" s="279"/>
      <c r="C24" s="284" t="s">
        <v>38</v>
      </c>
      <c r="D24" s="343" t="s">
        <v>73</v>
      </c>
      <c r="E24" s="68">
        <v>5000</v>
      </c>
      <c r="F24" s="34">
        <v>1</v>
      </c>
      <c r="G24" s="34">
        <f>E24</f>
        <v>5000</v>
      </c>
      <c r="H24" s="37">
        <f>G24*F24</f>
        <v>5000</v>
      </c>
      <c r="I24" s="37"/>
      <c r="J24" s="37"/>
      <c r="K24" s="37">
        <f>J24*I24</f>
        <v>0</v>
      </c>
      <c r="L24" s="37"/>
      <c r="M24" s="37"/>
      <c r="N24" s="37">
        <f>M24*L24</f>
        <v>0</v>
      </c>
      <c r="O24" s="34">
        <f>SUM(F24,I24,L24)</f>
        <v>1</v>
      </c>
      <c r="P24" s="37">
        <f t="shared" si="0"/>
        <v>5000</v>
      </c>
      <c r="Q24" s="344"/>
      <c r="R24" s="267"/>
    </row>
    <row r="25" spans="1:18" ht="12.5">
      <c r="A25" s="278"/>
      <c r="B25" s="279"/>
      <c r="C25" s="284" t="s">
        <v>28</v>
      </c>
      <c r="D25" s="343" t="s">
        <v>31</v>
      </c>
      <c r="E25" s="68">
        <v>5000</v>
      </c>
      <c r="F25" s="34">
        <v>12</v>
      </c>
      <c r="G25" s="34">
        <f>E25</f>
        <v>5000</v>
      </c>
      <c r="H25" s="37">
        <f>G25*F25</f>
        <v>60000</v>
      </c>
      <c r="I25" s="37">
        <v>12</v>
      </c>
      <c r="J25" s="37">
        <f>G25+G25*3.5%</f>
        <v>5175</v>
      </c>
      <c r="K25" s="37">
        <f>J25*I25</f>
        <v>62100</v>
      </c>
      <c r="L25" s="37">
        <v>6</v>
      </c>
      <c r="M25" s="37">
        <f>J25*$J$9</f>
        <v>5356.125</v>
      </c>
      <c r="N25" s="37">
        <f>M25*L25</f>
        <v>32136.75</v>
      </c>
      <c r="O25" s="34">
        <f>SUM(F25,I25,L25)</f>
        <v>30</v>
      </c>
      <c r="P25" s="37">
        <f t="shared" si="0"/>
        <v>154236.75</v>
      </c>
      <c r="Q25" s="344" t="s">
        <v>203</v>
      </c>
      <c r="R25" s="267"/>
    </row>
    <row r="26" spans="1:18" ht="20.149999999999999" customHeight="1">
      <c r="A26" s="278"/>
      <c r="B26" s="279"/>
      <c r="C26" s="284"/>
      <c r="D26" s="343"/>
      <c r="E26" s="68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7"/>
      <c r="Q26" s="344"/>
      <c r="R26" s="267"/>
    </row>
    <row r="27" spans="1:18">
      <c r="A27" s="286">
        <v>2</v>
      </c>
      <c r="B27" s="287"/>
      <c r="C27" s="39" t="s">
        <v>52</v>
      </c>
      <c r="D27" s="40"/>
      <c r="E27" s="69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41"/>
      <c r="Q27" s="346"/>
      <c r="R27" s="267"/>
    </row>
    <row r="28" spans="1:18" s="264" customFormat="1" ht="21.65" customHeight="1">
      <c r="A28" s="275"/>
      <c r="B28" s="276" t="s">
        <v>94</v>
      </c>
      <c r="C28" s="45" t="s">
        <v>66</v>
      </c>
      <c r="D28" s="46"/>
      <c r="E28" s="70"/>
      <c r="F28" s="47"/>
      <c r="G28" s="47"/>
      <c r="H28" s="48">
        <f>SUM(H29)</f>
        <v>30000</v>
      </c>
      <c r="I28" s="47"/>
      <c r="J28" s="47"/>
      <c r="K28" s="48">
        <f>SUM(K29)</f>
        <v>0</v>
      </c>
      <c r="L28" s="47"/>
      <c r="M28" s="47"/>
      <c r="N28" s="48">
        <f>SUM(N29)</f>
        <v>0</v>
      </c>
      <c r="O28" s="47"/>
      <c r="P28" s="48">
        <f>SUM(P29:P30)</f>
        <v>30000</v>
      </c>
      <c r="Q28" s="341"/>
      <c r="R28" s="342"/>
    </row>
    <row r="29" spans="1:18" ht="12.5">
      <c r="A29" s="278"/>
      <c r="B29" s="279"/>
      <c r="C29" s="284" t="s">
        <v>66</v>
      </c>
      <c r="D29" s="343"/>
      <c r="E29" s="68">
        <v>30000</v>
      </c>
      <c r="F29" s="34">
        <v>1</v>
      </c>
      <c r="G29" s="34">
        <f>E29</f>
        <v>30000</v>
      </c>
      <c r="H29" s="37">
        <f>G29*F29</f>
        <v>30000</v>
      </c>
      <c r="I29" s="37"/>
      <c r="J29" s="37"/>
      <c r="K29" s="37">
        <f>J29*I29</f>
        <v>0</v>
      </c>
      <c r="L29" s="37"/>
      <c r="M29" s="37">
        <f>J29*$J$9</f>
        <v>0</v>
      </c>
      <c r="N29" s="37">
        <f>M27*L29</f>
        <v>0</v>
      </c>
      <c r="O29" s="34">
        <f>SUM(F29,I29,L29)</f>
        <v>1</v>
      </c>
      <c r="P29" s="37">
        <f>SUM(H29,K29,N29)</f>
        <v>30000</v>
      </c>
      <c r="Q29" s="344" t="s">
        <v>204</v>
      </c>
      <c r="R29" s="267"/>
    </row>
    <row r="30" spans="1:18" ht="12.5">
      <c r="A30" s="278"/>
      <c r="B30" s="279"/>
      <c r="C30" s="284"/>
      <c r="D30" s="343"/>
      <c r="E30" s="68"/>
      <c r="F30" s="34"/>
      <c r="G30" s="34"/>
      <c r="H30" s="37"/>
      <c r="I30" s="37"/>
      <c r="J30" s="37"/>
      <c r="K30" s="37"/>
      <c r="L30" s="37"/>
      <c r="M30" s="37"/>
      <c r="N30" s="37"/>
      <c r="O30" s="34"/>
      <c r="P30" s="37"/>
      <c r="Q30" s="344"/>
      <c r="R30" s="267"/>
    </row>
    <row r="31" spans="1:18" s="264" customFormat="1" ht="39">
      <c r="A31" s="275">
        <v>1</v>
      </c>
      <c r="B31" s="276" t="s">
        <v>94</v>
      </c>
      <c r="C31" s="45" t="s">
        <v>47</v>
      </c>
      <c r="D31" s="46" t="s">
        <v>39</v>
      </c>
      <c r="E31" s="70"/>
      <c r="F31" s="47"/>
      <c r="G31" s="47"/>
      <c r="H31" s="48">
        <f>SUM(H32:H36)</f>
        <v>733000</v>
      </c>
      <c r="I31" s="47"/>
      <c r="J31" s="47"/>
      <c r="K31" s="48">
        <f>SUM(K32:K36)</f>
        <v>758655</v>
      </c>
      <c r="L31" s="47"/>
      <c r="M31" s="47"/>
      <c r="N31" s="48">
        <f>SUM(N32:N36)</f>
        <v>365287.72499999998</v>
      </c>
      <c r="O31" s="47"/>
      <c r="P31" s="48">
        <f>SUM(P33:P36)</f>
        <v>1856942.7249999999</v>
      </c>
      <c r="Q31" s="347" t="s">
        <v>205</v>
      </c>
      <c r="R31" s="342"/>
    </row>
    <row r="32" spans="1:18" ht="12.5">
      <c r="A32" s="278"/>
      <c r="B32" s="279"/>
      <c r="C32" s="284" t="s">
        <v>82</v>
      </c>
      <c r="D32" s="343"/>
      <c r="E32" s="68"/>
      <c r="F32" s="348">
        <v>400</v>
      </c>
      <c r="G32" s="34">
        <f t="shared" ref="G32:G48" si="1">E32</f>
        <v>0</v>
      </c>
      <c r="H32" s="37">
        <f>G32*F32</f>
        <v>0</v>
      </c>
      <c r="I32" s="349">
        <v>400</v>
      </c>
      <c r="J32" s="37">
        <f t="shared" ref="J32:J48" si="2">E32*$J$9</f>
        <v>0</v>
      </c>
      <c r="K32" s="37">
        <f>J32*I32</f>
        <v>0</v>
      </c>
      <c r="L32" s="37">
        <v>200</v>
      </c>
      <c r="M32" s="37"/>
      <c r="N32" s="37">
        <f>M32*L32</f>
        <v>0</v>
      </c>
      <c r="O32" s="34">
        <f>SUM(F32,I32,L32)</f>
        <v>1000</v>
      </c>
      <c r="P32" s="37">
        <f>SUM(H32,K32,N32)</f>
        <v>0</v>
      </c>
      <c r="Q32" s="344" t="s">
        <v>206</v>
      </c>
      <c r="R32" s="267"/>
    </row>
    <row r="33" spans="1:18" ht="25">
      <c r="A33" s="278"/>
      <c r="B33" s="279"/>
      <c r="C33" s="284" t="s">
        <v>98</v>
      </c>
      <c r="D33" s="343"/>
      <c r="E33" s="68">
        <v>150</v>
      </c>
      <c r="F33" s="34">
        <v>130</v>
      </c>
      <c r="G33" s="34">
        <f t="shared" si="1"/>
        <v>150</v>
      </c>
      <c r="H33" s="37">
        <f>G33*F33</f>
        <v>19500</v>
      </c>
      <c r="I33" s="37">
        <v>130</v>
      </c>
      <c r="J33" s="37">
        <f t="shared" si="2"/>
        <v>155.25</v>
      </c>
      <c r="K33" s="37">
        <f>J33*I33</f>
        <v>20182.5</v>
      </c>
      <c r="L33" s="37">
        <v>60</v>
      </c>
      <c r="M33" s="37">
        <f>J33*$J$9</f>
        <v>160.68374999999997</v>
      </c>
      <c r="N33" s="37">
        <f>M33*L33</f>
        <v>9641.0249999999978</v>
      </c>
      <c r="O33" s="34">
        <f>SUM(F33,I33,L33)</f>
        <v>320</v>
      </c>
      <c r="P33" s="37">
        <f>SUM(H33,K33,N33)</f>
        <v>49323.524999999994</v>
      </c>
      <c r="Q33" s="344" t="s">
        <v>207</v>
      </c>
      <c r="R33" s="267"/>
    </row>
    <row r="34" spans="1:18" ht="12.5">
      <c r="A34" s="278"/>
      <c r="B34" s="279"/>
      <c r="C34" s="284" t="s">
        <v>99</v>
      </c>
      <c r="D34" s="343"/>
      <c r="E34" s="68">
        <v>25</v>
      </c>
      <c r="F34" s="34">
        <f>F32</f>
        <v>400</v>
      </c>
      <c r="G34" s="34">
        <f t="shared" si="1"/>
        <v>25</v>
      </c>
      <c r="H34" s="37">
        <f>G34*F34</f>
        <v>10000</v>
      </c>
      <c r="I34" s="37">
        <f>I32</f>
        <v>400</v>
      </c>
      <c r="J34" s="37">
        <f t="shared" si="2"/>
        <v>25.874999999999996</v>
      </c>
      <c r="K34" s="37">
        <f>J34*I34</f>
        <v>10349.999999999998</v>
      </c>
      <c r="L34" s="37">
        <f>L32</f>
        <v>200</v>
      </c>
      <c r="M34" s="37">
        <f>J34*$J$9</f>
        <v>26.780624999999993</v>
      </c>
      <c r="N34" s="37">
        <f>M34*L34</f>
        <v>5356.1249999999991</v>
      </c>
      <c r="O34" s="34">
        <f>SUM(F34,I34,L34)</f>
        <v>1000</v>
      </c>
      <c r="P34" s="37">
        <f>SUM(H34,K34,N34)</f>
        <v>25706.125</v>
      </c>
      <c r="Q34" s="344" t="s">
        <v>208</v>
      </c>
      <c r="R34" s="267"/>
    </row>
    <row r="35" spans="1:18" ht="12.5">
      <c r="A35" s="278"/>
      <c r="B35" s="279"/>
      <c r="C35" s="284" t="s">
        <v>100</v>
      </c>
      <c r="D35" s="343"/>
      <c r="E35" s="68">
        <v>16500</v>
      </c>
      <c r="F35" s="34">
        <f>13*3</f>
        <v>39</v>
      </c>
      <c r="G35" s="34">
        <f t="shared" si="1"/>
        <v>16500</v>
      </c>
      <c r="H35" s="37">
        <f>G35*F35</f>
        <v>643500</v>
      </c>
      <c r="I35" s="34">
        <f>13*3</f>
        <v>39</v>
      </c>
      <c r="J35" s="37">
        <f t="shared" si="2"/>
        <v>17077.5</v>
      </c>
      <c r="K35" s="37">
        <f>J35*I35</f>
        <v>666022.5</v>
      </c>
      <c r="L35" s="37">
        <f>6*3</f>
        <v>18</v>
      </c>
      <c r="M35" s="37">
        <f>J35*$J$9</f>
        <v>17675.212499999998</v>
      </c>
      <c r="N35" s="37">
        <f>M35*L35</f>
        <v>318153.82499999995</v>
      </c>
      <c r="O35" s="34">
        <f>SUM(F35,I35,L35)</f>
        <v>96</v>
      </c>
      <c r="P35" s="37">
        <f>SUM(H35,K35,N35)</f>
        <v>1627676.325</v>
      </c>
      <c r="Q35" s="344" t="s">
        <v>209</v>
      </c>
      <c r="R35" s="267"/>
    </row>
    <row r="36" spans="1:18" ht="12.5">
      <c r="A36" s="278"/>
      <c r="B36" s="279"/>
      <c r="C36" s="284" t="s">
        <v>101</v>
      </c>
      <c r="D36" s="343"/>
      <c r="E36" s="68">
        <v>150</v>
      </c>
      <c r="F36" s="34">
        <f>F34</f>
        <v>400</v>
      </c>
      <c r="G36" s="34">
        <f t="shared" si="1"/>
        <v>150</v>
      </c>
      <c r="H36" s="37">
        <f>G36*F36</f>
        <v>60000</v>
      </c>
      <c r="I36" s="37">
        <f>I34</f>
        <v>400</v>
      </c>
      <c r="J36" s="37">
        <f t="shared" si="2"/>
        <v>155.25</v>
      </c>
      <c r="K36" s="37">
        <f>J36*I36</f>
        <v>62100</v>
      </c>
      <c r="L36" s="37">
        <f>L34</f>
        <v>200</v>
      </c>
      <c r="M36" s="37">
        <f>J36*$J$9</f>
        <v>160.68374999999997</v>
      </c>
      <c r="N36" s="37">
        <f>M36*L36</f>
        <v>32136.749999999996</v>
      </c>
      <c r="O36" s="34">
        <f>SUM(F36,I36,L36)</f>
        <v>1000</v>
      </c>
      <c r="P36" s="37">
        <f>SUM(H36,K36,N36)</f>
        <v>154236.75</v>
      </c>
      <c r="Q36" s="344" t="s">
        <v>210</v>
      </c>
      <c r="R36" s="267"/>
    </row>
    <row r="37" spans="1:18" ht="12.5">
      <c r="A37" s="278"/>
      <c r="B37" s="279"/>
      <c r="C37" s="284"/>
      <c r="D37" s="343"/>
      <c r="E37" s="68"/>
      <c r="F37" s="34"/>
      <c r="G37" s="34"/>
      <c r="H37" s="37"/>
      <c r="I37" s="37"/>
      <c r="J37" s="37"/>
      <c r="K37" s="37"/>
      <c r="L37" s="37"/>
      <c r="M37" s="37"/>
      <c r="N37" s="37"/>
      <c r="O37" s="34"/>
      <c r="P37" s="37"/>
      <c r="Q37" s="344"/>
      <c r="R37" s="267"/>
    </row>
    <row r="38" spans="1:18" s="264" customFormat="1" ht="24.75" customHeight="1">
      <c r="A38" s="275">
        <v>2</v>
      </c>
      <c r="B38" s="276" t="s">
        <v>94</v>
      </c>
      <c r="C38" s="45" t="s">
        <v>53</v>
      </c>
      <c r="D38" s="46" t="s">
        <v>39</v>
      </c>
      <c r="E38" s="70">
        <f>H38/300</f>
        <v>2215</v>
      </c>
      <c r="F38" s="47"/>
      <c r="G38" s="47"/>
      <c r="H38" s="48">
        <f>SUM(H39:H44)</f>
        <v>664500</v>
      </c>
      <c r="I38" s="47">
        <f>K38/300</f>
        <v>2292.5249999999996</v>
      </c>
      <c r="J38" s="47"/>
      <c r="K38" s="48">
        <f>SUM(K39:K44)</f>
        <v>687757.49999999988</v>
      </c>
      <c r="L38" s="47"/>
      <c r="M38" s="47"/>
      <c r="N38" s="48">
        <f>SUM(N39:N44)</f>
        <v>335293.42499999999</v>
      </c>
      <c r="O38" s="47"/>
      <c r="P38" s="48">
        <f>SUM(P39:P44)</f>
        <v>1687550.925</v>
      </c>
      <c r="Q38" s="350" t="s">
        <v>211</v>
      </c>
      <c r="R38" s="342"/>
    </row>
    <row r="39" spans="1:18" ht="12.5">
      <c r="A39" s="278"/>
      <c r="B39" s="279"/>
      <c r="C39" s="289" t="s">
        <v>41</v>
      </c>
      <c r="D39" s="351"/>
      <c r="E39" s="68">
        <v>0</v>
      </c>
      <c r="F39" s="34">
        <f>F32</f>
        <v>400</v>
      </c>
      <c r="G39" s="34">
        <f t="shared" si="1"/>
        <v>0</v>
      </c>
      <c r="H39" s="37">
        <f t="shared" ref="H39:H44" si="3">G39*F39</f>
        <v>0</v>
      </c>
      <c r="I39" s="34">
        <f>I32</f>
        <v>400</v>
      </c>
      <c r="J39" s="37">
        <f t="shared" si="2"/>
        <v>0</v>
      </c>
      <c r="K39" s="37">
        <f t="shared" ref="K39:K44" si="4">J39*I39</f>
        <v>0</v>
      </c>
      <c r="L39" s="34">
        <f>L32</f>
        <v>200</v>
      </c>
      <c r="M39" s="37">
        <f t="shared" ref="M39:M44" si="5">J39*$J$9</f>
        <v>0</v>
      </c>
      <c r="N39" s="37">
        <f t="shared" ref="N39:N44" si="6">M39*L39</f>
        <v>0</v>
      </c>
      <c r="O39" s="34">
        <f t="shared" ref="O39:O44" si="7">SUM(F39,I39,L39)</f>
        <v>1000</v>
      </c>
      <c r="P39" s="37">
        <f t="shared" ref="P39:P44" si="8">SUM(H39,K39,N39)</f>
        <v>0</v>
      </c>
      <c r="Q39" s="344" t="s">
        <v>206</v>
      </c>
      <c r="R39" s="267"/>
    </row>
    <row r="40" spans="1:18" ht="12.5">
      <c r="A40" s="278"/>
      <c r="B40" s="279"/>
      <c r="C40" s="289" t="s">
        <v>32</v>
      </c>
      <c r="D40" s="351"/>
      <c r="E40" s="68"/>
      <c r="F40" s="34">
        <f>+F39*70%</f>
        <v>280</v>
      </c>
      <c r="G40" s="34">
        <f t="shared" si="1"/>
        <v>0</v>
      </c>
      <c r="H40" s="37">
        <f t="shared" si="3"/>
        <v>0</v>
      </c>
      <c r="I40" s="34">
        <f>+I39*70%</f>
        <v>280</v>
      </c>
      <c r="J40" s="37">
        <f t="shared" si="2"/>
        <v>0</v>
      </c>
      <c r="K40" s="37">
        <f t="shared" si="4"/>
        <v>0</v>
      </c>
      <c r="L40" s="34">
        <f>+L39*70%</f>
        <v>140</v>
      </c>
      <c r="M40" s="37">
        <f t="shared" si="5"/>
        <v>0</v>
      </c>
      <c r="N40" s="37">
        <f t="shared" si="6"/>
        <v>0</v>
      </c>
      <c r="O40" s="34">
        <f t="shared" si="7"/>
        <v>700</v>
      </c>
      <c r="P40" s="37">
        <f t="shared" si="8"/>
        <v>0</v>
      </c>
      <c r="Q40" s="344" t="s">
        <v>206</v>
      </c>
      <c r="R40" s="267"/>
    </row>
    <row r="41" spans="1:18" ht="12.5">
      <c r="A41" s="278"/>
      <c r="B41" s="279"/>
      <c r="C41" s="289" t="s">
        <v>74</v>
      </c>
      <c r="D41" s="351"/>
      <c r="E41" s="68">
        <v>150</v>
      </c>
      <c r="F41" s="34">
        <f>F40</f>
        <v>280</v>
      </c>
      <c r="G41" s="34">
        <f t="shared" si="1"/>
        <v>150</v>
      </c>
      <c r="H41" s="37">
        <f t="shared" si="3"/>
        <v>42000</v>
      </c>
      <c r="I41" s="37">
        <f>I40</f>
        <v>280</v>
      </c>
      <c r="J41" s="37">
        <f t="shared" si="2"/>
        <v>155.25</v>
      </c>
      <c r="K41" s="37">
        <f t="shared" si="4"/>
        <v>43470</v>
      </c>
      <c r="L41" s="37">
        <f>L40</f>
        <v>140</v>
      </c>
      <c r="M41" s="37">
        <f t="shared" si="5"/>
        <v>160.68374999999997</v>
      </c>
      <c r="N41" s="37">
        <f t="shared" si="6"/>
        <v>22495.724999999995</v>
      </c>
      <c r="O41" s="34">
        <f t="shared" si="7"/>
        <v>700</v>
      </c>
      <c r="P41" s="37">
        <f t="shared" si="8"/>
        <v>107965.72499999999</v>
      </c>
      <c r="Q41" s="344" t="s">
        <v>212</v>
      </c>
      <c r="R41" s="267"/>
    </row>
    <row r="42" spans="1:18" ht="12.5">
      <c r="A42" s="278"/>
      <c r="B42" s="279"/>
      <c r="C42" s="289" t="s">
        <v>75</v>
      </c>
      <c r="D42" s="351"/>
      <c r="E42" s="68">
        <v>500</v>
      </c>
      <c r="F42" s="34">
        <v>25</v>
      </c>
      <c r="G42" s="34">
        <f t="shared" si="1"/>
        <v>500</v>
      </c>
      <c r="H42" s="37">
        <f t="shared" si="3"/>
        <v>12500</v>
      </c>
      <c r="I42" s="37">
        <v>25</v>
      </c>
      <c r="J42" s="37">
        <f t="shared" si="2"/>
        <v>517.5</v>
      </c>
      <c r="K42" s="37">
        <f t="shared" si="4"/>
        <v>12937.5</v>
      </c>
      <c r="L42" s="37">
        <v>20</v>
      </c>
      <c r="M42" s="37">
        <f t="shared" si="5"/>
        <v>535.61249999999995</v>
      </c>
      <c r="N42" s="37">
        <f t="shared" si="6"/>
        <v>10712.25</v>
      </c>
      <c r="O42" s="34">
        <f t="shared" si="7"/>
        <v>70</v>
      </c>
      <c r="P42" s="37">
        <f t="shared" si="8"/>
        <v>36149.75</v>
      </c>
      <c r="Q42" s="344"/>
      <c r="R42" s="267"/>
    </row>
    <row r="43" spans="1:18" ht="25">
      <c r="A43" s="278"/>
      <c r="B43" s="279"/>
      <c r="C43" s="289" t="s">
        <v>102</v>
      </c>
      <c r="D43" s="351"/>
      <c r="E43" s="68">
        <v>30</v>
      </c>
      <c r="F43" s="34">
        <f>F39</f>
        <v>400</v>
      </c>
      <c r="G43" s="34">
        <f t="shared" si="1"/>
        <v>30</v>
      </c>
      <c r="H43" s="37">
        <f t="shared" si="3"/>
        <v>12000</v>
      </c>
      <c r="I43" s="37">
        <f>I39</f>
        <v>400</v>
      </c>
      <c r="J43" s="37">
        <f t="shared" si="2"/>
        <v>31.049999999999997</v>
      </c>
      <c r="K43" s="37">
        <f t="shared" si="4"/>
        <v>12419.999999999998</v>
      </c>
      <c r="L43" s="37">
        <f>L39</f>
        <v>200</v>
      </c>
      <c r="M43" s="37">
        <f t="shared" si="5"/>
        <v>32.136749999999992</v>
      </c>
      <c r="N43" s="37">
        <f t="shared" si="6"/>
        <v>6427.3499999999985</v>
      </c>
      <c r="O43" s="34">
        <f t="shared" si="7"/>
        <v>1000</v>
      </c>
      <c r="P43" s="37">
        <f t="shared" si="8"/>
        <v>30847.35</v>
      </c>
      <c r="Q43" s="344"/>
      <c r="R43" s="267"/>
    </row>
    <row r="44" spans="1:18" ht="12.5">
      <c r="A44" s="278"/>
      <c r="B44" s="279"/>
      <c r="C44" s="289" t="s">
        <v>103</v>
      </c>
      <c r="D44" s="351"/>
      <c r="E44" s="68">
        <v>23000</v>
      </c>
      <c r="F44" s="34">
        <f>13*2</f>
        <v>26</v>
      </c>
      <c r="G44" s="34">
        <f t="shared" si="1"/>
        <v>23000</v>
      </c>
      <c r="H44" s="37">
        <f t="shared" si="3"/>
        <v>598000</v>
      </c>
      <c r="I44" s="37">
        <f>13*2</f>
        <v>26</v>
      </c>
      <c r="J44" s="37">
        <f t="shared" si="2"/>
        <v>23804.999999999996</v>
      </c>
      <c r="K44" s="37">
        <f t="shared" si="4"/>
        <v>618929.99999999988</v>
      </c>
      <c r="L44" s="37">
        <f>6*2</f>
        <v>12</v>
      </c>
      <c r="M44" s="37">
        <f t="shared" si="5"/>
        <v>24638.174999999996</v>
      </c>
      <c r="N44" s="37">
        <f t="shared" si="6"/>
        <v>295658.09999999998</v>
      </c>
      <c r="O44" s="34">
        <f t="shared" si="7"/>
        <v>64</v>
      </c>
      <c r="P44" s="37">
        <f t="shared" si="8"/>
        <v>1512588.1</v>
      </c>
      <c r="Q44" s="344"/>
      <c r="R44" s="267"/>
    </row>
    <row r="45" spans="1:18" ht="12.5">
      <c r="A45" s="278"/>
      <c r="B45" s="279"/>
      <c r="C45" s="289"/>
      <c r="D45" s="351"/>
      <c r="E45" s="68"/>
      <c r="F45" s="34"/>
      <c r="G45" s="34"/>
      <c r="H45" s="37"/>
      <c r="I45" s="37"/>
      <c r="J45" s="37"/>
      <c r="K45" s="37"/>
      <c r="L45" s="37"/>
      <c r="M45" s="37"/>
      <c r="N45" s="37"/>
      <c r="O45" s="34"/>
      <c r="P45" s="37"/>
      <c r="Q45" s="344"/>
      <c r="R45" s="267"/>
    </row>
    <row r="46" spans="1:18" s="264" customFormat="1" ht="39">
      <c r="A46" s="275">
        <v>3</v>
      </c>
      <c r="B46" s="276" t="s">
        <v>94</v>
      </c>
      <c r="C46" s="45" t="s">
        <v>54</v>
      </c>
      <c r="D46" s="46" t="s">
        <v>40</v>
      </c>
      <c r="E46" s="70"/>
      <c r="F46" s="47"/>
      <c r="G46" s="47"/>
      <c r="H46" s="48">
        <f>SUM(H47:H48)</f>
        <v>50000</v>
      </c>
      <c r="I46" s="47"/>
      <c r="J46" s="47"/>
      <c r="K46" s="48">
        <f>SUM(K47:K48)</f>
        <v>51749.999999999993</v>
      </c>
      <c r="L46" s="47"/>
      <c r="M46" s="47"/>
      <c r="N46" s="48">
        <f>SUM(N47:N48)</f>
        <v>24638.174999999996</v>
      </c>
      <c r="O46" s="47"/>
      <c r="P46" s="48">
        <f>SUM(P47:P48)</f>
        <v>126388.175</v>
      </c>
      <c r="Q46" s="341"/>
      <c r="R46" s="342"/>
    </row>
    <row r="47" spans="1:18" ht="25">
      <c r="A47" s="278"/>
      <c r="B47" s="279"/>
      <c r="C47" s="228" t="s">
        <v>46</v>
      </c>
      <c r="D47" s="352" t="s">
        <v>72</v>
      </c>
      <c r="E47" s="71">
        <v>100</v>
      </c>
      <c r="F47" s="34">
        <f>F39</f>
        <v>400</v>
      </c>
      <c r="G47" s="34">
        <f t="shared" si="1"/>
        <v>100</v>
      </c>
      <c r="H47" s="37">
        <f>G47*F47</f>
        <v>40000</v>
      </c>
      <c r="I47" s="34">
        <f>I39</f>
        <v>400</v>
      </c>
      <c r="J47" s="37">
        <f t="shared" si="2"/>
        <v>103.49999999999999</v>
      </c>
      <c r="K47" s="37">
        <f>J47*I47</f>
        <v>41399.999999999993</v>
      </c>
      <c r="L47" s="34">
        <f>L39</f>
        <v>200</v>
      </c>
      <c r="M47" s="37">
        <f>J47*$J$9</f>
        <v>107.12249999999997</v>
      </c>
      <c r="N47" s="37">
        <f>M47*L47</f>
        <v>21424.499999999996</v>
      </c>
      <c r="O47" s="34">
        <f>SUM(F47,I47,L47)</f>
        <v>1000</v>
      </c>
      <c r="P47" s="37">
        <f>SUM(H47,K47,N47)</f>
        <v>102824.5</v>
      </c>
      <c r="Q47" s="353" t="s">
        <v>213</v>
      </c>
      <c r="R47" s="267"/>
    </row>
    <row r="48" spans="1:18" ht="12.5">
      <c r="A48" s="278"/>
      <c r="B48" s="279"/>
      <c r="C48" s="228" t="s">
        <v>33</v>
      </c>
      <c r="D48" s="352" t="s">
        <v>76</v>
      </c>
      <c r="E48" s="71">
        <v>1000</v>
      </c>
      <c r="F48" s="34">
        <v>10</v>
      </c>
      <c r="G48" s="34">
        <f t="shared" si="1"/>
        <v>1000</v>
      </c>
      <c r="H48" s="37">
        <f>G48*F48</f>
        <v>10000</v>
      </c>
      <c r="I48" s="37">
        <v>10</v>
      </c>
      <c r="J48" s="37">
        <f t="shared" si="2"/>
        <v>1035</v>
      </c>
      <c r="K48" s="37">
        <f>J48*I48</f>
        <v>10350</v>
      </c>
      <c r="L48" s="37">
        <v>3</v>
      </c>
      <c r="M48" s="37">
        <f>J48*$J$9</f>
        <v>1071.2249999999999</v>
      </c>
      <c r="N48" s="37">
        <f>M48*L48</f>
        <v>3213.6749999999997</v>
      </c>
      <c r="O48" s="34">
        <f>SUM(F48,I48,L48)</f>
        <v>23</v>
      </c>
      <c r="P48" s="37">
        <f>SUM(H48,K48,N48)</f>
        <v>23563.674999999999</v>
      </c>
      <c r="Q48" s="344"/>
      <c r="R48" s="267"/>
    </row>
    <row r="49" spans="1:18" ht="12.5">
      <c r="A49" s="278"/>
      <c r="B49" s="279"/>
      <c r="C49" s="291"/>
      <c r="D49" s="279"/>
      <c r="E49" s="72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7"/>
      <c r="Q49" s="344"/>
      <c r="R49" s="267"/>
    </row>
    <row r="50" spans="1:18" s="264" customFormat="1" ht="29" customHeight="1">
      <c r="A50" s="275">
        <v>4</v>
      </c>
      <c r="B50" s="276" t="s">
        <v>94</v>
      </c>
      <c r="C50" s="45" t="s">
        <v>22</v>
      </c>
      <c r="D50" s="46" t="s">
        <v>56</v>
      </c>
      <c r="E50" s="70"/>
      <c r="F50" s="47"/>
      <c r="G50" s="47"/>
      <c r="H50" s="48">
        <f>SUM(H51:H53)</f>
        <v>33000</v>
      </c>
      <c r="I50" s="47"/>
      <c r="J50" s="47"/>
      <c r="K50" s="48">
        <f>SUM(K51:K53)</f>
        <v>34155</v>
      </c>
      <c r="L50" s="47"/>
      <c r="M50" s="47"/>
      <c r="N50" s="48">
        <f>SUM(N51:N53)</f>
        <v>10176.637499999999</v>
      </c>
      <c r="O50" s="47"/>
      <c r="P50" s="48">
        <f>SUM(P51:P53)</f>
        <v>77331.637499999997</v>
      </c>
      <c r="Q50" s="341"/>
      <c r="R50" s="342"/>
    </row>
    <row r="51" spans="1:18" ht="12.5">
      <c r="A51" s="278"/>
      <c r="B51" s="279"/>
      <c r="C51" s="228" t="s">
        <v>105</v>
      </c>
      <c r="D51" s="352" t="s">
        <v>76</v>
      </c>
      <c r="E51" s="71">
        <v>7000</v>
      </c>
      <c r="F51" s="34">
        <v>1</v>
      </c>
      <c r="G51" s="34">
        <f t="shared" ref="G51:G57" si="9">E51</f>
        <v>7000</v>
      </c>
      <c r="H51" s="37">
        <f>G51*F51</f>
        <v>7000</v>
      </c>
      <c r="I51" s="37">
        <v>1</v>
      </c>
      <c r="J51" s="37">
        <f t="shared" ref="J51:J57" si="10">E51*$J$9</f>
        <v>7244.9999999999991</v>
      </c>
      <c r="K51" s="37">
        <f>J51*I51</f>
        <v>7244.9999999999991</v>
      </c>
      <c r="L51" s="37"/>
      <c r="M51" s="37"/>
      <c r="N51" s="37"/>
      <c r="O51" s="34">
        <f>SUM(F51,I51,L51)</f>
        <v>2</v>
      </c>
      <c r="P51" s="37">
        <f>SUM(H51,K51,N51)</f>
        <v>14245</v>
      </c>
      <c r="Q51" s="344"/>
      <c r="R51" s="267"/>
    </row>
    <row r="52" spans="1:18" ht="12.5">
      <c r="A52" s="278"/>
      <c r="B52" s="279"/>
      <c r="C52" s="228" t="s">
        <v>83</v>
      </c>
      <c r="D52" s="352" t="s">
        <v>77</v>
      </c>
      <c r="E52" s="71">
        <v>500</v>
      </c>
      <c r="F52" s="34">
        <v>10</v>
      </c>
      <c r="G52" s="34">
        <f t="shared" si="9"/>
        <v>500</v>
      </c>
      <c r="H52" s="37">
        <f>G52*F52</f>
        <v>5000</v>
      </c>
      <c r="I52" s="37">
        <v>10</v>
      </c>
      <c r="J52" s="37">
        <f t="shared" si="10"/>
        <v>517.5</v>
      </c>
      <c r="K52" s="37">
        <f>J52*I52</f>
        <v>5175</v>
      </c>
      <c r="L52" s="37">
        <v>5</v>
      </c>
      <c r="M52" s="37">
        <f>J52*$J$9</f>
        <v>535.61249999999995</v>
      </c>
      <c r="N52" s="37">
        <f>M52*L52</f>
        <v>2678.0625</v>
      </c>
      <c r="O52" s="34">
        <f>SUM(F52,I52,L52)</f>
        <v>25</v>
      </c>
      <c r="P52" s="37">
        <f>SUM(H52,K52,N52)</f>
        <v>12853.0625</v>
      </c>
      <c r="Q52" s="344"/>
      <c r="R52" s="267"/>
    </row>
    <row r="53" spans="1:18" ht="12.5">
      <c r="A53" s="278"/>
      <c r="B53" s="279"/>
      <c r="C53" s="228" t="s">
        <v>84</v>
      </c>
      <c r="D53" s="352" t="s">
        <v>78</v>
      </c>
      <c r="E53" s="71">
        <v>7000</v>
      </c>
      <c r="F53" s="34">
        <v>3</v>
      </c>
      <c r="G53" s="34">
        <f t="shared" si="9"/>
        <v>7000</v>
      </c>
      <c r="H53" s="37">
        <f>G53*F53</f>
        <v>21000</v>
      </c>
      <c r="I53" s="37">
        <v>3</v>
      </c>
      <c r="J53" s="37">
        <f t="shared" si="10"/>
        <v>7244.9999999999991</v>
      </c>
      <c r="K53" s="37">
        <f>J53*I53</f>
        <v>21734.999999999996</v>
      </c>
      <c r="L53" s="37">
        <v>1</v>
      </c>
      <c r="M53" s="37">
        <f>J53*$J$9</f>
        <v>7498.5749999999989</v>
      </c>
      <c r="N53" s="37">
        <f>M53*L53</f>
        <v>7498.5749999999989</v>
      </c>
      <c r="O53" s="34">
        <f>SUM(F53,I53,L53)</f>
        <v>7</v>
      </c>
      <c r="P53" s="37">
        <f>SUM(H53,K53,N53)</f>
        <v>50233.574999999997</v>
      </c>
      <c r="Q53" s="344"/>
      <c r="R53" s="267"/>
    </row>
    <row r="54" spans="1:18" ht="12.5">
      <c r="A54" s="278"/>
      <c r="B54" s="279"/>
      <c r="C54" s="228"/>
      <c r="D54" s="352"/>
      <c r="E54" s="71"/>
      <c r="F54" s="34"/>
      <c r="G54" s="34"/>
      <c r="H54" s="37"/>
      <c r="I54" s="37"/>
      <c r="J54" s="37"/>
      <c r="K54" s="37"/>
      <c r="L54" s="37"/>
      <c r="M54" s="37"/>
      <c r="N54" s="37"/>
      <c r="O54" s="34"/>
      <c r="P54" s="37"/>
      <c r="Q54" s="344"/>
      <c r="R54" s="267"/>
    </row>
    <row r="55" spans="1:18" s="264" customFormat="1" ht="31.25" customHeight="1">
      <c r="A55" s="275">
        <v>5</v>
      </c>
      <c r="B55" s="276" t="s">
        <v>94</v>
      </c>
      <c r="C55" s="45" t="s">
        <v>23</v>
      </c>
      <c r="D55" s="46" t="s">
        <v>39</v>
      </c>
      <c r="E55" s="70"/>
      <c r="F55" s="47"/>
      <c r="G55" s="47"/>
      <c r="H55" s="48">
        <f>SUM(H56:H57)</f>
        <v>20000</v>
      </c>
      <c r="I55" s="47"/>
      <c r="J55" s="47"/>
      <c r="K55" s="48">
        <f>SUM(K56:K57)</f>
        <v>20699.999999999996</v>
      </c>
      <c r="L55" s="47"/>
      <c r="M55" s="47"/>
      <c r="N55" s="48">
        <f>SUM(N56:N57)</f>
        <v>10712.249999999998</v>
      </c>
      <c r="O55" s="47"/>
      <c r="P55" s="48">
        <f>SUM(P56:P57)</f>
        <v>51412.25</v>
      </c>
      <c r="Q55" s="341"/>
      <c r="R55" s="342"/>
    </row>
    <row r="56" spans="1:18" ht="25">
      <c r="A56" s="278"/>
      <c r="B56" s="279"/>
      <c r="C56" s="228" t="s">
        <v>59</v>
      </c>
      <c r="D56" s="352" t="s">
        <v>72</v>
      </c>
      <c r="E56" s="71">
        <v>50</v>
      </c>
      <c r="F56" s="34">
        <f>F32</f>
        <v>400</v>
      </c>
      <c r="G56" s="34">
        <f t="shared" si="9"/>
        <v>50</v>
      </c>
      <c r="H56" s="37">
        <f>G56*F56</f>
        <v>20000</v>
      </c>
      <c r="I56" s="34">
        <f>I32</f>
        <v>400</v>
      </c>
      <c r="J56" s="37">
        <f t="shared" si="10"/>
        <v>51.749999999999993</v>
      </c>
      <c r="K56" s="37">
        <f>J56*I56</f>
        <v>20699.999999999996</v>
      </c>
      <c r="L56" s="34">
        <f>L32</f>
        <v>200</v>
      </c>
      <c r="M56" s="37">
        <f>J56*$J$9</f>
        <v>53.561249999999987</v>
      </c>
      <c r="N56" s="37">
        <f>M56*L56</f>
        <v>10712.249999999998</v>
      </c>
      <c r="O56" s="34">
        <f>SUM(F56,I56,L56)</f>
        <v>1000</v>
      </c>
      <c r="P56" s="37">
        <f>SUM(H56,K56,N56)</f>
        <v>51412.25</v>
      </c>
      <c r="Q56" s="344"/>
      <c r="R56" s="267"/>
    </row>
    <row r="57" spans="1:18" ht="12.5">
      <c r="A57" s="278"/>
      <c r="B57" s="279"/>
      <c r="C57" s="228" t="s">
        <v>58</v>
      </c>
      <c r="D57" s="352"/>
      <c r="E57" s="71"/>
      <c r="F57" s="34">
        <v>4</v>
      </c>
      <c r="G57" s="34">
        <f t="shared" si="9"/>
        <v>0</v>
      </c>
      <c r="H57" s="37">
        <f>G57*F57</f>
        <v>0</v>
      </c>
      <c r="I57" s="37">
        <v>4</v>
      </c>
      <c r="J57" s="37">
        <f t="shared" si="10"/>
        <v>0</v>
      </c>
      <c r="K57" s="37">
        <f>J57*I57</f>
        <v>0</v>
      </c>
      <c r="L57" s="37"/>
      <c r="M57" s="37">
        <f>J57*$J$9</f>
        <v>0</v>
      </c>
      <c r="N57" s="37">
        <f>M55*L57</f>
        <v>0</v>
      </c>
      <c r="O57" s="34">
        <f>SUM(F57,I57,L57)</f>
        <v>8</v>
      </c>
      <c r="P57" s="37">
        <f>SUM(H57,K57,N57)</f>
        <v>0</v>
      </c>
      <c r="Q57" s="344" t="s">
        <v>214</v>
      </c>
      <c r="R57" s="267"/>
    </row>
    <row r="58" spans="1:18" ht="12.5">
      <c r="A58" s="278"/>
      <c r="B58" s="279"/>
      <c r="C58" s="228"/>
      <c r="D58" s="352"/>
      <c r="E58" s="71"/>
      <c r="F58" s="34"/>
      <c r="G58" s="34"/>
      <c r="H58" s="37"/>
      <c r="I58" s="37"/>
      <c r="J58" s="37"/>
      <c r="K58" s="37"/>
      <c r="L58" s="37"/>
      <c r="M58" s="37"/>
      <c r="N58" s="37"/>
      <c r="O58" s="34"/>
      <c r="P58" s="37"/>
      <c r="Q58" s="344"/>
      <c r="R58" s="267"/>
    </row>
    <row r="59" spans="1:18" s="264" customFormat="1" ht="32" customHeight="1">
      <c r="A59" s="275">
        <v>6</v>
      </c>
      <c r="B59" s="276" t="s">
        <v>95</v>
      </c>
      <c r="C59" s="45" t="s">
        <v>60</v>
      </c>
      <c r="D59" s="46" t="s">
        <v>56</v>
      </c>
      <c r="E59" s="70"/>
      <c r="F59" s="47"/>
      <c r="G59" s="47"/>
      <c r="H59" s="48">
        <f>SUM(H60:H67)</f>
        <v>174000</v>
      </c>
      <c r="I59" s="47"/>
      <c r="J59" s="47"/>
      <c r="K59" s="48">
        <f>SUM(K60:K67)</f>
        <v>128340</v>
      </c>
      <c r="L59" s="47"/>
      <c r="M59" s="47"/>
      <c r="N59" s="48">
        <f>SUM(N60:N67)</f>
        <v>52490.024999999994</v>
      </c>
      <c r="O59" s="47"/>
      <c r="P59" s="48">
        <f>SUM(P60:P67)</f>
        <v>354830.02500000002</v>
      </c>
      <c r="Q59" s="341"/>
      <c r="R59" s="342"/>
    </row>
    <row r="60" spans="1:18" s="264" customFormat="1" ht="25">
      <c r="A60" s="292"/>
      <c r="B60" s="279"/>
      <c r="C60" s="228" t="s">
        <v>61</v>
      </c>
      <c r="D60" s="352"/>
      <c r="E60" s="71">
        <v>0</v>
      </c>
      <c r="F60" s="34"/>
      <c r="G60" s="34">
        <f t="shared" ref="G60:G67" si="11">E60</f>
        <v>0</v>
      </c>
      <c r="H60" s="37">
        <f t="shared" ref="H60:H67" si="12">G60*F60</f>
        <v>0</v>
      </c>
      <c r="I60" s="37"/>
      <c r="J60" s="37">
        <f t="shared" ref="J60:J76" si="13">E60*$J$9</f>
        <v>0</v>
      </c>
      <c r="K60" s="37">
        <f t="shared" ref="K60:K67" si="14">J60*I60</f>
        <v>0</v>
      </c>
      <c r="L60" s="37"/>
      <c r="M60" s="37">
        <f t="shared" ref="M60:M66" si="15">J60*$J$9</f>
        <v>0</v>
      </c>
      <c r="N60" s="37">
        <f>M60*L60</f>
        <v>0</v>
      </c>
      <c r="O60" s="34">
        <f t="shared" ref="O60:O67" si="16">SUM(F60,I60,L60)</f>
        <v>0</v>
      </c>
      <c r="P60" s="37">
        <f t="shared" ref="P60:P67" si="17">SUM(H60,K60,N60)</f>
        <v>0</v>
      </c>
      <c r="Q60" s="344" t="s">
        <v>215</v>
      </c>
      <c r="R60" s="342"/>
    </row>
    <row r="61" spans="1:18" s="264" customFormat="1">
      <c r="A61" s="292"/>
      <c r="B61" s="279"/>
      <c r="C61" s="228" t="s">
        <v>86</v>
      </c>
      <c r="D61" s="352" t="s">
        <v>78</v>
      </c>
      <c r="E61" s="71">
        <v>5000</v>
      </c>
      <c r="F61" s="34">
        <v>1</v>
      </c>
      <c r="G61" s="34">
        <f t="shared" si="11"/>
        <v>5000</v>
      </c>
      <c r="H61" s="37">
        <f t="shared" si="12"/>
        <v>5000</v>
      </c>
      <c r="I61" s="37"/>
      <c r="J61" s="37"/>
      <c r="K61" s="37">
        <f t="shared" si="14"/>
        <v>0</v>
      </c>
      <c r="L61" s="37"/>
      <c r="M61" s="37">
        <f t="shared" si="15"/>
        <v>0</v>
      </c>
      <c r="N61" s="37">
        <f t="shared" ref="N61:N67" si="18">M61*L61</f>
        <v>0</v>
      </c>
      <c r="O61" s="34">
        <f t="shared" si="16"/>
        <v>1</v>
      </c>
      <c r="P61" s="37">
        <f t="shared" si="17"/>
        <v>5000</v>
      </c>
      <c r="Q61" s="354"/>
      <c r="R61" s="342"/>
    </row>
    <row r="62" spans="1:18" s="264" customFormat="1" ht="37.5">
      <c r="A62" s="292"/>
      <c r="B62" s="279"/>
      <c r="C62" s="289" t="s">
        <v>62</v>
      </c>
      <c r="D62" s="352" t="s">
        <v>79</v>
      </c>
      <c r="E62" s="71">
        <v>70000</v>
      </c>
      <c r="F62" s="34">
        <v>1</v>
      </c>
      <c r="G62" s="34">
        <f t="shared" si="11"/>
        <v>70000</v>
      </c>
      <c r="H62" s="37">
        <f t="shared" si="12"/>
        <v>70000</v>
      </c>
      <c r="I62" s="37"/>
      <c r="J62" s="37"/>
      <c r="K62" s="37">
        <f t="shared" si="14"/>
        <v>0</v>
      </c>
      <c r="L62" s="37"/>
      <c r="M62" s="37">
        <f t="shared" si="15"/>
        <v>0</v>
      </c>
      <c r="N62" s="37">
        <f t="shared" si="18"/>
        <v>0</v>
      </c>
      <c r="O62" s="34">
        <f t="shared" si="16"/>
        <v>1</v>
      </c>
      <c r="P62" s="37">
        <f t="shared" si="17"/>
        <v>70000</v>
      </c>
      <c r="Q62" s="344" t="s">
        <v>216</v>
      </c>
      <c r="R62" s="342"/>
    </row>
    <row r="63" spans="1:18" s="264" customFormat="1">
      <c r="A63" s="292"/>
      <c r="B63" s="279"/>
      <c r="C63" s="289" t="s">
        <v>104</v>
      </c>
      <c r="D63" s="352" t="s">
        <v>78</v>
      </c>
      <c r="E63" s="71">
        <v>5000</v>
      </c>
      <c r="F63" s="34">
        <v>5</v>
      </c>
      <c r="G63" s="34">
        <f t="shared" si="11"/>
        <v>5000</v>
      </c>
      <c r="H63" s="37">
        <f t="shared" si="12"/>
        <v>25000</v>
      </c>
      <c r="I63" s="37">
        <v>5</v>
      </c>
      <c r="J63" s="37">
        <f t="shared" si="13"/>
        <v>5175</v>
      </c>
      <c r="K63" s="37">
        <f t="shared" si="14"/>
        <v>25875</v>
      </c>
      <c r="L63" s="37">
        <v>2</v>
      </c>
      <c r="M63" s="37">
        <f t="shared" si="15"/>
        <v>5356.125</v>
      </c>
      <c r="N63" s="37">
        <f t="shared" si="18"/>
        <v>10712.25</v>
      </c>
      <c r="O63" s="34">
        <f t="shared" si="16"/>
        <v>12</v>
      </c>
      <c r="P63" s="37">
        <f t="shared" si="17"/>
        <v>61587.25</v>
      </c>
      <c r="Q63" s="354"/>
      <c r="R63" s="342"/>
    </row>
    <row r="64" spans="1:18" ht="12.5">
      <c r="A64" s="278"/>
      <c r="B64" s="279"/>
      <c r="C64" s="289" t="s">
        <v>106</v>
      </c>
      <c r="D64" s="352" t="s">
        <v>71</v>
      </c>
      <c r="E64" s="71">
        <v>3000</v>
      </c>
      <c r="F64" s="34">
        <v>3</v>
      </c>
      <c r="G64" s="34">
        <f t="shared" si="11"/>
        <v>3000</v>
      </c>
      <c r="H64" s="37">
        <f t="shared" si="12"/>
        <v>9000</v>
      </c>
      <c r="I64" s="37">
        <v>3</v>
      </c>
      <c r="J64" s="37">
        <f t="shared" si="13"/>
        <v>3104.9999999999995</v>
      </c>
      <c r="K64" s="37">
        <f t="shared" si="14"/>
        <v>9314.9999999999982</v>
      </c>
      <c r="L64" s="37">
        <v>3</v>
      </c>
      <c r="M64" s="37">
        <f t="shared" si="15"/>
        <v>3213.6749999999993</v>
      </c>
      <c r="N64" s="37">
        <f t="shared" si="18"/>
        <v>9641.0249999999978</v>
      </c>
      <c r="O64" s="34">
        <f t="shared" si="16"/>
        <v>9</v>
      </c>
      <c r="P64" s="37">
        <f t="shared" si="17"/>
        <v>27956.024999999998</v>
      </c>
      <c r="Q64" s="344" t="s">
        <v>217</v>
      </c>
      <c r="R64" s="267"/>
    </row>
    <row r="65" spans="1:18" ht="12.5">
      <c r="A65" s="278"/>
      <c r="B65" s="279"/>
      <c r="C65" s="289" t="s">
        <v>107</v>
      </c>
      <c r="D65" s="352" t="s">
        <v>71</v>
      </c>
      <c r="E65" s="71">
        <v>5000</v>
      </c>
      <c r="F65" s="34">
        <v>8</v>
      </c>
      <c r="G65" s="34">
        <f t="shared" si="11"/>
        <v>5000</v>
      </c>
      <c r="H65" s="37">
        <f t="shared" si="12"/>
        <v>40000</v>
      </c>
      <c r="I65" s="37">
        <v>8</v>
      </c>
      <c r="J65" s="37">
        <f t="shared" si="13"/>
        <v>5175</v>
      </c>
      <c r="K65" s="37">
        <f t="shared" si="14"/>
        <v>41400</v>
      </c>
      <c r="L65" s="37">
        <v>4</v>
      </c>
      <c r="M65" s="37">
        <f t="shared" si="15"/>
        <v>5356.125</v>
      </c>
      <c r="N65" s="37">
        <f t="shared" si="18"/>
        <v>21424.5</v>
      </c>
      <c r="O65" s="34">
        <f t="shared" si="16"/>
        <v>20</v>
      </c>
      <c r="P65" s="37">
        <f t="shared" si="17"/>
        <v>102824.5</v>
      </c>
      <c r="Q65" s="344" t="s">
        <v>218</v>
      </c>
      <c r="R65" s="267"/>
    </row>
    <row r="66" spans="1:18" ht="12.5">
      <c r="A66" s="278"/>
      <c r="B66" s="279"/>
      <c r="C66" s="289" t="s">
        <v>108</v>
      </c>
      <c r="D66" s="352" t="s">
        <v>71</v>
      </c>
      <c r="E66" s="71">
        <v>5000</v>
      </c>
      <c r="F66" s="34">
        <v>5</v>
      </c>
      <c r="G66" s="34">
        <f t="shared" si="11"/>
        <v>5000</v>
      </c>
      <c r="H66" s="37">
        <f t="shared" si="12"/>
        <v>25000</v>
      </c>
      <c r="I66" s="37">
        <v>5</v>
      </c>
      <c r="J66" s="37">
        <f t="shared" si="13"/>
        <v>5175</v>
      </c>
      <c r="K66" s="37">
        <f t="shared" si="14"/>
        <v>25875</v>
      </c>
      <c r="L66" s="37">
        <v>2</v>
      </c>
      <c r="M66" s="37">
        <f t="shared" si="15"/>
        <v>5356.125</v>
      </c>
      <c r="N66" s="37">
        <f t="shared" si="18"/>
        <v>10712.25</v>
      </c>
      <c r="O66" s="34">
        <f t="shared" si="16"/>
        <v>12</v>
      </c>
      <c r="P66" s="37">
        <f t="shared" si="17"/>
        <v>61587.25</v>
      </c>
      <c r="Q66" s="344" t="s">
        <v>219</v>
      </c>
      <c r="R66" s="267"/>
    </row>
    <row r="67" spans="1:18" s="264" customFormat="1">
      <c r="A67" s="292"/>
      <c r="B67" s="279"/>
      <c r="C67" s="228" t="s">
        <v>109</v>
      </c>
      <c r="D67" s="352" t="s">
        <v>79</v>
      </c>
      <c r="E67" s="71">
        <v>25000</v>
      </c>
      <c r="F67" s="34"/>
      <c r="G67" s="34">
        <f t="shared" si="11"/>
        <v>25000</v>
      </c>
      <c r="H67" s="37">
        <f t="shared" si="12"/>
        <v>0</v>
      </c>
      <c r="I67" s="37">
        <v>1</v>
      </c>
      <c r="J67" s="37">
        <f t="shared" si="13"/>
        <v>25874.999999999996</v>
      </c>
      <c r="K67" s="37">
        <f t="shared" si="14"/>
        <v>25874.999999999996</v>
      </c>
      <c r="L67" s="37"/>
      <c r="M67" s="37"/>
      <c r="N67" s="37">
        <f t="shared" si="18"/>
        <v>0</v>
      </c>
      <c r="O67" s="34">
        <f t="shared" si="16"/>
        <v>1</v>
      </c>
      <c r="P67" s="37">
        <f t="shared" si="17"/>
        <v>25874.999999999996</v>
      </c>
      <c r="Q67" s="354"/>
      <c r="R67" s="342"/>
    </row>
    <row r="68" spans="1:18" s="264" customFormat="1">
      <c r="A68" s="292"/>
      <c r="B68" s="293"/>
      <c r="C68" s="228"/>
      <c r="D68" s="352"/>
      <c r="E68" s="71"/>
      <c r="F68" s="54"/>
      <c r="G68" s="54"/>
      <c r="H68" s="54"/>
      <c r="I68" s="54"/>
      <c r="J68" s="37">
        <f t="shared" si="13"/>
        <v>0</v>
      </c>
      <c r="K68" s="54"/>
      <c r="L68" s="54"/>
      <c r="M68" s="54"/>
      <c r="N68" s="54"/>
      <c r="O68" s="54"/>
      <c r="P68" s="55"/>
      <c r="Q68" s="354"/>
      <c r="R68" s="342"/>
    </row>
    <row r="69" spans="1:18" s="264" customFormat="1" ht="29" customHeight="1">
      <c r="A69" s="275">
        <v>7</v>
      </c>
      <c r="B69" s="276" t="s">
        <v>96</v>
      </c>
      <c r="C69" s="45" t="s">
        <v>17</v>
      </c>
      <c r="D69" s="46" t="s">
        <v>20</v>
      </c>
      <c r="E69" s="70"/>
      <c r="F69" s="47"/>
      <c r="G69" s="47"/>
      <c r="H69" s="48">
        <f>SUM(H70:H77)</f>
        <v>86000</v>
      </c>
      <c r="I69" s="47"/>
      <c r="J69" s="47"/>
      <c r="K69" s="48">
        <f>SUM(K70:K77)</f>
        <v>89010</v>
      </c>
      <c r="L69" s="47"/>
      <c r="M69" s="47"/>
      <c r="N69" s="48">
        <f>SUM(N70:N77)</f>
        <v>44991.45</v>
      </c>
      <c r="O69" s="47"/>
      <c r="P69" s="48">
        <f>SUM(P70:P77)</f>
        <v>220001.45</v>
      </c>
      <c r="Q69" s="341"/>
      <c r="R69" s="342"/>
    </row>
    <row r="70" spans="1:18" ht="12.5">
      <c r="A70" s="278"/>
      <c r="B70" s="279"/>
      <c r="C70" s="228" t="s">
        <v>87</v>
      </c>
      <c r="D70" s="352" t="s">
        <v>71</v>
      </c>
      <c r="E70" s="71">
        <v>8000</v>
      </c>
      <c r="F70" s="34">
        <v>7</v>
      </c>
      <c r="G70" s="34">
        <f t="shared" ref="G70:G77" si="19">E70</f>
        <v>8000</v>
      </c>
      <c r="H70" s="37">
        <f t="shared" ref="H70:H77" si="20">G70*F70</f>
        <v>56000</v>
      </c>
      <c r="I70" s="37">
        <v>7</v>
      </c>
      <c r="J70" s="37">
        <f t="shared" si="13"/>
        <v>8280</v>
      </c>
      <c r="K70" s="37">
        <f t="shared" ref="K70:K76" si="21">J70*I70</f>
        <v>57960</v>
      </c>
      <c r="L70" s="37">
        <v>4</v>
      </c>
      <c r="M70" s="37">
        <f>J70*$J$9</f>
        <v>8569.7999999999993</v>
      </c>
      <c r="N70" s="37">
        <f>M70*L70</f>
        <v>34279.199999999997</v>
      </c>
      <c r="O70" s="34">
        <f>SUM(F70,I70,L70)</f>
        <v>18</v>
      </c>
      <c r="P70" s="37">
        <f>SUM(H70,K70,N70)</f>
        <v>148239.20000000001</v>
      </c>
      <c r="Q70" s="344" t="s">
        <v>220</v>
      </c>
      <c r="R70" s="267"/>
    </row>
    <row r="71" spans="1:18" ht="12.5">
      <c r="A71" s="278"/>
      <c r="B71" s="279"/>
      <c r="C71" s="228"/>
      <c r="D71" s="352"/>
      <c r="E71" s="71"/>
      <c r="F71" s="34"/>
      <c r="G71" s="34"/>
      <c r="H71" s="37"/>
      <c r="I71" s="37"/>
      <c r="J71" s="37"/>
      <c r="K71" s="37"/>
      <c r="L71" s="37"/>
      <c r="M71" s="37"/>
      <c r="N71" s="37"/>
      <c r="O71" s="34"/>
      <c r="P71" s="37"/>
      <c r="Q71" s="344"/>
      <c r="R71" s="267"/>
    </row>
    <row r="72" spans="1:18" ht="12.5">
      <c r="A72" s="278"/>
      <c r="B72" s="279"/>
      <c r="C72" s="228"/>
      <c r="D72" s="352"/>
      <c r="E72" s="71"/>
      <c r="F72" s="34"/>
      <c r="G72" s="34"/>
      <c r="H72" s="37"/>
      <c r="I72" s="37"/>
      <c r="J72" s="37"/>
      <c r="K72" s="37"/>
      <c r="L72" s="37"/>
      <c r="M72" s="37"/>
      <c r="N72" s="37"/>
      <c r="O72" s="34"/>
      <c r="P72" s="37"/>
      <c r="Q72" s="344"/>
      <c r="R72" s="267"/>
    </row>
    <row r="73" spans="1:18">
      <c r="A73" s="278"/>
      <c r="B73" s="279"/>
      <c r="C73" s="294" t="s">
        <v>70</v>
      </c>
      <c r="D73" s="352"/>
      <c r="E73" s="71"/>
      <c r="F73" s="34"/>
      <c r="G73" s="34"/>
      <c r="H73" s="37"/>
      <c r="I73" s="37"/>
      <c r="J73" s="37"/>
      <c r="K73" s="37"/>
      <c r="L73" s="37"/>
      <c r="M73" s="37"/>
      <c r="N73" s="37"/>
      <c r="O73" s="34"/>
      <c r="P73" s="37"/>
      <c r="Q73" s="344"/>
      <c r="R73" s="267"/>
    </row>
    <row r="74" spans="1:18" ht="12.5">
      <c r="A74" s="278"/>
      <c r="B74" s="279"/>
      <c r="C74" s="228" t="s">
        <v>67</v>
      </c>
      <c r="D74" s="352" t="s">
        <v>71</v>
      </c>
      <c r="E74" s="71">
        <v>10000</v>
      </c>
      <c r="F74" s="34">
        <v>1</v>
      </c>
      <c r="G74" s="34">
        <f t="shared" si="19"/>
        <v>10000</v>
      </c>
      <c r="H74" s="37">
        <f t="shared" si="20"/>
        <v>10000</v>
      </c>
      <c r="I74" s="37">
        <v>1</v>
      </c>
      <c r="J74" s="37">
        <f t="shared" si="13"/>
        <v>10350</v>
      </c>
      <c r="K74" s="37">
        <f t="shared" si="21"/>
        <v>10350</v>
      </c>
      <c r="L74" s="37">
        <v>1</v>
      </c>
      <c r="M74" s="37">
        <f>J74*$J$9</f>
        <v>10712.25</v>
      </c>
      <c r="N74" s="37">
        <f>M74*L74</f>
        <v>10712.25</v>
      </c>
      <c r="O74" s="34">
        <f>SUM(F74,I74,L74)</f>
        <v>3</v>
      </c>
      <c r="P74" s="37">
        <f>SUM(H74,K74,N74)</f>
        <v>31062.25</v>
      </c>
      <c r="Q74" s="344" t="s">
        <v>221</v>
      </c>
      <c r="R74" s="267"/>
    </row>
    <row r="75" spans="1:18" ht="12.5">
      <c r="A75" s="278"/>
      <c r="B75" s="279"/>
      <c r="C75" s="228" t="s">
        <v>69</v>
      </c>
      <c r="D75" s="352" t="s">
        <v>71</v>
      </c>
      <c r="E75" s="71">
        <v>10000</v>
      </c>
      <c r="F75" s="34">
        <v>1</v>
      </c>
      <c r="G75" s="34">
        <f t="shared" si="19"/>
        <v>10000</v>
      </c>
      <c r="H75" s="37">
        <f t="shared" si="20"/>
        <v>10000</v>
      </c>
      <c r="I75" s="37">
        <v>1</v>
      </c>
      <c r="J75" s="37">
        <f t="shared" si="13"/>
        <v>10350</v>
      </c>
      <c r="K75" s="37">
        <f t="shared" si="21"/>
        <v>10350</v>
      </c>
      <c r="L75" s="37"/>
      <c r="M75" s="37"/>
      <c r="N75" s="37">
        <f>M75*L75</f>
        <v>0</v>
      </c>
      <c r="O75" s="34">
        <f>SUM(F75,I75,L75)</f>
        <v>2</v>
      </c>
      <c r="P75" s="37">
        <f>SUM(H75,K75,N75)</f>
        <v>20350</v>
      </c>
      <c r="Q75" s="344" t="s">
        <v>221</v>
      </c>
      <c r="R75" s="267"/>
    </row>
    <row r="76" spans="1:18" ht="12.5">
      <c r="A76" s="278"/>
      <c r="B76" s="279"/>
      <c r="C76" s="228" t="s">
        <v>68</v>
      </c>
      <c r="D76" s="352" t="s">
        <v>71</v>
      </c>
      <c r="E76" s="71">
        <v>10000</v>
      </c>
      <c r="F76" s="34">
        <v>1</v>
      </c>
      <c r="G76" s="34">
        <f t="shared" si="19"/>
        <v>10000</v>
      </c>
      <c r="H76" s="37">
        <f t="shared" si="20"/>
        <v>10000</v>
      </c>
      <c r="I76" s="37">
        <v>1</v>
      </c>
      <c r="J76" s="37">
        <f t="shared" si="13"/>
        <v>10350</v>
      </c>
      <c r="K76" s="37">
        <f t="shared" si="21"/>
        <v>10350</v>
      </c>
      <c r="L76" s="37"/>
      <c r="M76" s="37"/>
      <c r="N76" s="37">
        <f>M76*L76</f>
        <v>0</v>
      </c>
      <c r="O76" s="34">
        <f>SUM(F76,I76,L76)</f>
        <v>2</v>
      </c>
      <c r="P76" s="37">
        <f>SUM(H76,K76,N76)</f>
        <v>20350</v>
      </c>
      <c r="Q76" s="344" t="s">
        <v>221</v>
      </c>
      <c r="R76" s="267"/>
    </row>
    <row r="77" spans="1:18" ht="12.5">
      <c r="A77" s="278"/>
      <c r="B77" s="279"/>
      <c r="C77" s="228"/>
      <c r="D77" s="352"/>
      <c r="E77" s="71"/>
      <c r="F77" s="34"/>
      <c r="G77" s="34">
        <f t="shared" si="19"/>
        <v>0</v>
      </c>
      <c r="H77" s="37">
        <f t="shared" si="20"/>
        <v>0</v>
      </c>
      <c r="I77" s="37"/>
      <c r="J77" s="37"/>
      <c r="K77" s="37"/>
      <c r="L77" s="37"/>
      <c r="M77" s="37"/>
      <c r="N77" s="37"/>
      <c r="O77" s="34"/>
      <c r="P77" s="37"/>
      <c r="Q77" s="344"/>
      <c r="R77" s="267"/>
    </row>
    <row r="78" spans="1:18" ht="12.5">
      <c r="A78" s="278"/>
      <c r="B78" s="279"/>
      <c r="C78" s="228"/>
      <c r="D78" s="352"/>
      <c r="E78" s="71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7"/>
      <c r="Q78" s="344"/>
      <c r="R78" s="267"/>
    </row>
    <row r="79" spans="1:18" s="264" customFormat="1" ht="29" customHeight="1">
      <c r="A79" s="275">
        <v>8</v>
      </c>
      <c r="B79" s="276" t="s">
        <v>97</v>
      </c>
      <c r="C79" s="45" t="s">
        <v>81</v>
      </c>
      <c r="D79" s="46" t="s">
        <v>20</v>
      </c>
      <c r="E79" s="70"/>
      <c r="F79" s="47"/>
      <c r="G79" s="47"/>
      <c r="H79" s="48">
        <f>SUM(H80:H84)</f>
        <v>116000</v>
      </c>
      <c r="I79" s="47"/>
      <c r="J79" s="47"/>
      <c r="K79" s="48">
        <f>SUM(K80:K84)</f>
        <v>91080</v>
      </c>
      <c r="L79" s="47"/>
      <c r="M79" s="47"/>
      <c r="N79" s="48">
        <f>SUM(N80:N84)</f>
        <v>52490.024999999994</v>
      </c>
      <c r="O79" s="47"/>
      <c r="P79" s="48">
        <f>SUM(P80:P84)</f>
        <v>259570.02499999999</v>
      </c>
      <c r="Q79" s="341"/>
      <c r="R79" s="342"/>
    </row>
    <row r="80" spans="1:18" ht="25">
      <c r="A80" s="278"/>
      <c r="B80" s="279"/>
      <c r="C80" s="289" t="s">
        <v>80</v>
      </c>
      <c r="D80" s="352" t="s">
        <v>71</v>
      </c>
      <c r="E80" s="71">
        <v>25000</v>
      </c>
      <c r="F80" s="34">
        <v>1</v>
      </c>
      <c r="G80" s="34">
        <f t="shared" ref="G80:G87" si="22">E80</f>
        <v>25000</v>
      </c>
      <c r="H80" s="37">
        <f>G80*F80</f>
        <v>25000</v>
      </c>
      <c r="I80" s="37"/>
      <c r="J80" s="37"/>
      <c r="K80" s="37">
        <f>J80*I80</f>
        <v>0</v>
      </c>
      <c r="L80" s="37"/>
      <c r="M80" s="37">
        <f>J80*$J$9</f>
        <v>0</v>
      </c>
      <c r="N80" s="37">
        <f>M78*L80</f>
        <v>0</v>
      </c>
      <c r="O80" s="34">
        <f>SUM(F80,I80,L80)</f>
        <v>1</v>
      </c>
      <c r="P80" s="37">
        <f>SUM(H80,K80,N80)</f>
        <v>25000</v>
      </c>
      <c r="Q80" s="344"/>
      <c r="R80" s="267"/>
    </row>
    <row r="81" spans="1:18" ht="12.5">
      <c r="A81" s="278"/>
      <c r="B81" s="279"/>
      <c r="C81" s="289" t="s">
        <v>110</v>
      </c>
      <c r="D81" s="352" t="s">
        <v>71</v>
      </c>
      <c r="E81" s="71">
        <v>5000</v>
      </c>
      <c r="F81" s="34">
        <v>4</v>
      </c>
      <c r="G81" s="34">
        <f t="shared" si="22"/>
        <v>5000</v>
      </c>
      <c r="H81" s="37">
        <f>G81*F81</f>
        <v>20000</v>
      </c>
      <c r="I81" s="37">
        <v>4</v>
      </c>
      <c r="J81" s="37">
        <f>E81*$J$9</f>
        <v>5175</v>
      </c>
      <c r="K81" s="37">
        <f>J81*I81</f>
        <v>20700</v>
      </c>
      <c r="L81" s="37">
        <v>2</v>
      </c>
      <c r="M81" s="37">
        <f>J81*$J$9</f>
        <v>5356.125</v>
      </c>
      <c r="N81" s="37">
        <f>M81*L81</f>
        <v>10712.25</v>
      </c>
      <c r="O81" s="34">
        <f>SUM(F81,I81,L81)</f>
        <v>10</v>
      </c>
      <c r="P81" s="37">
        <f>SUM(H81,K81,N81)</f>
        <v>51412.25</v>
      </c>
      <c r="Q81" s="344" t="s">
        <v>222</v>
      </c>
      <c r="R81" s="267"/>
    </row>
    <row r="82" spans="1:18" ht="12.5">
      <c r="A82" s="278"/>
      <c r="B82" s="279"/>
      <c r="C82" s="289" t="s">
        <v>111</v>
      </c>
      <c r="D82" s="352" t="s">
        <v>71</v>
      </c>
      <c r="E82" s="71">
        <v>11000</v>
      </c>
      <c r="F82" s="34">
        <v>1</v>
      </c>
      <c r="G82" s="34">
        <f t="shared" si="22"/>
        <v>11000</v>
      </c>
      <c r="H82" s="37">
        <f>G82*F82</f>
        <v>11000</v>
      </c>
      <c r="I82" s="37">
        <v>1</v>
      </c>
      <c r="J82" s="37">
        <f>E82*$J$9</f>
        <v>11385</v>
      </c>
      <c r="K82" s="37">
        <f>J82*I82</f>
        <v>11385</v>
      </c>
      <c r="L82" s="37">
        <v>1</v>
      </c>
      <c r="M82" s="37">
        <f>J82*$J$9</f>
        <v>11783.474999999999</v>
      </c>
      <c r="N82" s="37">
        <f>M82*L82</f>
        <v>11783.474999999999</v>
      </c>
      <c r="O82" s="34">
        <f>SUM(F82,I82,L82)</f>
        <v>3</v>
      </c>
      <c r="P82" s="37">
        <f>SUM(H82,K82,N82)</f>
        <v>34168.474999999999</v>
      </c>
      <c r="Q82" s="344" t="s">
        <v>223</v>
      </c>
      <c r="R82" s="267"/>
    </row>
    <row r="83" spans="1:18" ht="12.5">
      <c r="A83" s="278"/>
      <c r="B83" s="279"/>
      <c r="C83" s="228" t="s">
        <v>114</v>
      </c>
      <c r="D83" s="352" t="s">
        <v>71</v>
      </c>
      <c r="E83" s="71">
        <v>14000</v>
      </c>
      <c r="F83" s="34">
        <v>3</v>
      </c>
      <c r="G83" s="34">
        <v>15000</v>
      </c>
      <c r="H83" s="37">
        <f>G83*F83</f>
        <v>45000</v>
      </c>
      <c r="I83" s="37">
        <v>3</v>
      </c>
      <c r="J83" s="37">
        <f>E83*$J$9</f>
        <v>14489.999999999998</v>
      </c>
      <c r="K83" s="37">
        <f>J83*I83</f>
        <v>43469.999999999993</v>
      </c>
      <c r="L83" s="37">
        <v>2</v>
      </c>
      <c r="M83" s="37">
        <f>J83*$J$9</f>
        <v>14997.149999999998</v>
      </c>
      <c r="N83" s="37">
        <f>M83*L83</f>
        <v>29994.299999999996</v>
      </c>
      <c r="O83" s="34">
        <f>SUM(F83,I83,L83)</f>
        <v>8</v>
      </c>
      <c r="P83" s="37">
        <f>SUM(H83,K83,N83)</f>
        <v>118464.29999999999</v>
      </c>
      <c r="Q83" s="344" t="s">
        <v>224</v>
      </c>
      <c r="R83" s="267"/>
    </row>
    <row r="84" spans="1:18" ht="12.5">
      <c r="A84" s="278"/>
      <c r="B84" s="279"/>
      <c r="C84" s="228" t="s">
        <v>112</v>
      </c>
      <c r="D84" s="352" t="s">
        <v>71</v>
      </c>
      <c r="E84" s="71">
        <v>15000</v>
      </c>
      <c r="F84" s="34">
        <v>1</v>
      </c>
      <c r="G84" s="34">
        <f t="shared" si="22"/>
        <v>15000</v>
      </c>
      <c r="H84" s="37">
        <f>G84*F84</f>
        <v>15000</v>
      </c>
      <c r="I84" s="37">
        <v>1</v>
      </c>
      <c r="J84" s="37">
        <f>E84*$J$9</f>
        <v>15524.999999999998</v>
      </c>
      <c r="K84" s="37">
        <f>J84*I84</f>
        <v>15524.999999999998</v>
      </c>
      <c r="L84" s="37"/>
      <c r="M84" s="37"/>
      <c r="N84" s="37">
        <f>M79*L84</f>
        <v>0</v>
      </c>
      <c r="O84" s="34">
        <f>SUM(F84,I84,L84)</f>
        <v>2</v>
      </c>
      <c r="P84" s="37">
        <f>SUM(H84,K84,N84)</f>
        <v>30525</v>
      </c>
      <c r="Q84" s="344"/>
      <c r="R84" s="267"/>
    </row>
    <row r="85" spans="1:18" ht="17.399999999999999" customHeight="1">
      <c r="A85" s="278"/>
      <c r="B85" s="279"/>
      <c r="C85" s="228"/>
      <c r="D85" s="352"/>
      <c r="E85" s="71"/>
      <c r="F85" s="34"/>
      <c r="G85" s="34">
        <f t="shared" si="22"/>
        <v>0</v>
      </c>
      <c r="H85" s="37"/>
      <c r="I85" s="37"/>
      <c r="J85" s="37"/>
      <c r="K85" s="37"/>
      <c r="L85" s="37"/>
      <c r="M85" s="37"/>
      <c r="N85" s="37"/>
      <c r="O85" s="34"/>
      <c r="P85" s="37"/>
      <c r="Q85" s="344"/>
      <c r="R85" s="267"/>
    </row>
    <row r="86" spans="1:18" s="264" customFormat="1" ht="29" customHeight="1">
      <c r="A86" s="275">
        <v>9</v>
      </c>
      <c r="B86" s="276" t="s">
        <v>94</v>
      </c>
      <c r="C86" s="45" t="s">
        <v>57</v>
      </c>
      <c r="D86" s="46" t="s">
        <v>39</v>
      </c>
      <c r="E86" s="70"/>
      <c r="F86" s="47"/>
      <c r="G86" s="47"/>
      <c r="H86" s="48">
        <f>SUM(H87:H87)</f>
        <v>79991.1353811593</v>
      </c>
      <c r="I86" s="47"/>
      <c r="J86" s="47"/>
      <c r="K86" s="48">
        <f>SUM(K87:K87)</f>
        <v>82790.825119499874</v>
      </c>
      <c r="L86" s="47"/>
      <c r="M86" s="47"/>
      <c r="N86" s="48">
        <f>SUM(N87:N87)</f>
        <v>42844.251999341177</v>
      </c>
      <c r="O86" s="47"/>
      <c r="P86" s="48">
        <f>SUM(P87:P87)</f>
        <v>205626.21250000037</v>
      </c>
      <c r="Q86" s="341"/>
      <c r="R86" s="342"/>
    </row>
    <row r="87" spans="1:18" ht="29" customHeight="1">
      <c r="A87" s="278"/>
      <c r="B87" s="279"/>
      <c r="C87" s="228" t="s">
        <v>88</v>
      </c>
      <c r="D87" s="352" t="s">
        <v>72</v>
      </c>
      <c r="E87" s="71">
        <v>199.97783845289825</v>
      </c>
      <c r="F87" s="34">
        <f>F32</f>
        <v>400</v>
      </c>
      <c r="G87" s="34">
        <f t="shared" si="22"/>
        <v>199.97783845289825</v>
      </c>
      <c r="H87" s="37">
        <f>G87*F87</f>
        <v>79991.1353811593</v>
      </c>
      <c r="I87" s="34">
        <f>I32</f>
        <v>400</v>
      </c>
      <c r="J87" s="37">
        <f>E87*$J$9</f>
        <v>206.97706279874967</v>
      </c>
      <c r="K87" s="37">
        <f>J87*I87</f>
        <v>82790.825119499874</v>
      </c>
      <c r="L87" s="34">
        <f>L32</f>
        <v>200</v>
      </c>
      <c r="M87" s="37">
        <f>J87*$J$9</f>
        <v>214.2212599967059</v>
      </c>
      <c r="N87" s="37">
        <f>M87*L87</f>
        <v>42844.251999341177</v>
      </c>
      <c r="O87" s="34">
        <f>SUM(F87,I87,L87)</f>
        <v>1000</v>
      </c>
      <c r="P87" s="37">
        <f>SUM(H87,K87,N87)</f>
        <v>205626.21250000037</v>
      </c>
      <c r="Q87" s="353" t="s">
        <v>225</v>
      </c>
      <c r="R87" s="267"/>
    </row>
    <row r="88" spans="1:18" ht="12.5">
      <c r="A88" s="278"/>
      <c r="B88" s="279"/>
      <c r="C88" s="228"/>
      <c r="D88" s="352"/>
      <c r="E88" s="71"/>
      <c r="F88" s="34"/>
      <c r="G88" s="34"/>
      <c r="H88" s="37"/>
      <c r="I88" s="34"/>
      <c r="J88" s="37"/>
      <c r="K88" s="37"/>
      <c r="L88" s="34"/>
      <c r="M88" s="37"/>
      <c r="N88" s="37"/>
      <c r="O88" s="34"/>
      <c r="P88" s="37"/>
      <c r="Q88" s="353"/>
      <c r="R88" s="267"/>
    </row>
    <row r="89" spans="1:18" s="264" customFormat="1" ht="39">
      <c r="A89" s="275">
        <v>10</v>
      </c>
      <c r="B89" s="295" t="s">
        <v>181</v>
      </c>
      <c r="C89" s="227" t="s">
        <v>182</v>
      </c>
      <c r="D89" s="46" t="s">
        <v>39</v>
      </c>
      <c r="E89" s="70"/>
      <c r="F89" s="47"/>
      <c r="G89" s="47"/>
      <c r="H89" s="48">
        <f>SUM(H90:H90)</f>
        <v>558000</v>
      </c>
      <c r="I89" s="47"/>
      <c r="J89" s="47"/>
      <c r="K89" s="48">
        <f>SUM(K90:K90)</f>
        <v>0</v>
      </c>
      <c r="L89" s="47"/>
      <c r="M89" s="47"/>
      <c r="N89" s="48">
        <f>SUM(N90:N90)</f>
        <v>0</v>
      </c>
      <c r="O89" s="47"/>
      <c r="P89" s="48">
        <f>SUM(P90:P90)</f>
        <v>558000</v>
      </c>
      <c r="Q89" s="341"/>
      <c r="R89" s="342"/>
    </row>
    <row r="90" spans="1:18" ht="12.5">
      <c r="A90" s="278"/>
      <c r="B90" s="279"/>
      <c r="C90" s="228" t="s">
        <v>183</v>
      </c>
      <c r="D90" s="352" t="s">
        <v>72</v>
      </c>
      <c r="E90" s="71">
        <f>4500*2</f>
        <v>9000</v>
      </c>
      <c r="F90" s="34">
        <v>62</v>
      </c>
      <c r="G90" s="34">
        <v>9000</v>
      </c>
      <c r="H90" s="37">
        <f>G90*F90</f>
        <v>558000</v>
      </c>
      <c r="I90" s="34"/>
      <c r="J90" s="37"/>
      <c r="K90" s="37"/>
      <c r="L90" s="34"/>
      <c r="M90" s="37"/>
      <c r="N90" s="37"/>
      <c r="O90" s="34">
        <f>SUM(F90,I90,L90)</f>
        <v>62</v>
      </c>
      <c r="P90" s="37">
        <f>SUM(H90,K90,N90)</f>
        <v>558000</v>
      </c>
      <c r="Q90" s="353" t="s">
        <v>226</v>
      </c>
      <c r="R90" s="267"/>
    </row>
    <row r="91" spans="1:18" ht="17.399999999999999" customHeight="1">
      <c r="A91" s="278"/>
      <c r="B91" s="279"/>
      <c r="C91" s="228"/>
      <c r="D91" s="352"/>
      <c r="E91" s="71"/>
      <c r="F91" s="34"/>
      <c r="G91" s="34"/>
      <c r="H91" s="37"/>
      <c r="I91" s="37"/>
      <c r="J91" s="37"/>
      <c r="K91" s="37"/>
      <c r="L91" s="37"/>
      <c r="M91" s="37"/>
      <c r="N91" s="37"/>
      <c r="O91" s="34"/>
      <c r="P91" s="37"/>
      <c r="Q91" s="344"/>
      <c r="R91" s="267"/>
    </row>
    <row r="92" spans="1:18" ht="20.149999999999999" customHeight="1">
      <c r="A92" s="355"/>
      <c r="B92" s="356"/>
      <c r="C92" s="357" t="s">
        <v>55</v>
      </c>
      <c r="D92" s="358"/>
      <c r="E92" s="359"/>
      <c r="F92" s="360"/>
      <c r="G92" s="360"/>
      <c r="H92" s="360">
        <f>SUM(H89,H86,H79,H69,H59,H55,H50,H46,H38,H31,H28, H14,H20)</f>
        <v>4018491.1353811594</v>
      </c>
      <c r="I92" s="360"/>
      <c r="J92" s="360"/>
      <c r="K92" s="360">
        <f>SUM(K89,K86,K79,K69,K59,K55,K50,K46,K38,K31,K28, K14,K20)</f>
        <v>3464653.3251194996</v>
      </c>
      <c r="L92" s="360"/>
      <c r="M92" s="360"/>
      <c r="N92" s="360">
        <f>SUM(N89,N86,N79,N69,N59,N55,N50,N46,N38,N31,N28, N14,N20)</f>
        <v>1674855.5394993408</v>
      </c>
      <c r="O92" s="360"/>
      <c r="P92" s="360">
        <f>SUM(P89,P86,P79,P69,P59,P55,P50,P46,P38,P31,P28, P14,P20)</f>
        <v>9158000</v>
      </c>
      <c r="Q92" s="361"/>
      <c r="R92" s="267"/>
    </row>
    <row r="93" spans="1:18" ht="20.149999999999999" customHeight="1">
      <c r="P93" s="342"/>
      <c r="R93" s="267"/>
    </row>
    <row r="94" spans="1:18" ht="20.149999999999999" customHeight="1">
      <c r="P94" s="342"/>
      <c r="R94" s="267"/>
    </row>
    <row r="95" spans="1:18">
      <c r="P95" s="362"/>
      <c r="R95" s="267"/>
    </row>
    <row r="96" spans="1:18">
      <c r="G96" s="342">
        <f>+H14+H20</f>
        <v>1474000</v>
      </c>
      <c r="H96" s="342">
        <f>H92-H14-H20</f>
        <v>2544491.1353811594</v>
      </c>
    </row>
    <row r="98" spans="7:8">
      <c r="G98" s="362">
        <f>G96/12</f>
        <v>122833.33333333333</v>
      </c>
      <c r="H98" s="362">
        <f>H96/12</f>
        <v>212040.92794842995</v>
      </c>
    </row>
    <row r="99" spans="7:8">
      <c r="G99" s="362">
        <f>G98*2</f>
        <v>245666.66666666666</v>
      </c>
      <c r="H99" s="362">
        <f>H98*2</f>
        <v>424081.8558968599</v>
      </c>
    </row>
  </sheetData>
  <mergeCells count="8">
    <mergeCell ref="O12:P12"/>
    <mergeCell ref="F1:N1"/>
    <mergeCell ref="C5:D5"/>
    <mergeCell ref="K7:M7"/>
    <mergeCell ref="E12:E13"/>
    <mergeCell ref="F12:H12"/>
    <mergeCell ref="I12:K12"/>
    <mergeCell ref="L12:N12"/>
  </mergeCells>
  <printOptions horizontalCentered="1"/>
  <pageMargins left="0.2" right="0.2" top="0.5" bottom="0.5" header="0.3" footer="0.3"/>
  <pageSetup paperSize="9" scale="47" orientation="landscape" errors="dash" r:id="rId1"/>
  <headerFooter>
    <oddFooter>Page &amp;P of &amp;N</oddFooter>
  </headerFooter>
  <rowBreaks count="1" manualBreakCount="1">
    <brk id="58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AE448-FD75-4A95-B6DC-B688D0333E6C}">
  <sheetPr>
    <tabColor theme="6" tint="-0.249977111117893"/>
  </sheetPr>
  <dimension ref="A1:L129"/>
  <sheetViews>
    <sheetView showGridLines="0" view="pageBreakPreview" topLeftCell="A84" zoomScale="70" zoomScaleNormal="90" zoomScaleSheetLayoutView="70" workbookViewId="0">
      <selection activeCell="D92" sqref="D92"/>
    </sheetView>
  </sheetViews>
  <sheetFormatPr defaultColWidth="9.1796875" defaultRowHeight="12.5"/>
  <cols>
    <col min="1" max="1" width="6.26953125" style="259" customWidth="1"/>
    <col min="2" max="2" width="16.1796875" style="259" customWidth="1"/>
    <col min="3" max="3" width="52.453125" style="261" bestFit="1" customWidth="1"/>
    <col min="4" max="4" width="14.26953125" style="109" customWidth="1"/>
    <col min="5" max="5" width="24.26953125" style="261" customWidth="1"/>
    <col min="6" max="6" width="21.1796875" style="261" customWidth="1"/>
    <col min="7" max="7" width="22.7265625" style="261" bestFit="1" customWidth="1"/>
    <col min="8" max="8" width="18" style="261" customWidth="1"/>
    <col min="9" max="9" width="8" style="261" customWidth="1"/>
    <col min="10" max="10" width="15.453125" style="261" bestFit="1" customWidth="1"/>
    <col min="11" max="11" width="9.1796875" style="261"/>
    <col min="12" max="12" width="12.1796875" style="261" bestFit="1" customWidth="1"/>
    <col min="13" max="16384" width="9.1796875" style="261"/>
  </cols>
  <sheetData>
    <row r="1" spans="1:12" ht="31.9" customHeight="1">
      <c r="B1" s="509" t="s">
        <v>150</v>
      </c>
      <c r="C1" s="509"/>
      <c r="D1" s="509"/>
      <c r="E1" s="509"/>
      <c r="F1" s="509"/>
      <c r="G1" s="260"/>
      <c r="H1" s="260"/>
      <c r="I1" s="260"/>
    </row>
    <row r="2" spans="1:12" ht="18.75" customHeight="1">
      <c r="B2" s="260"/>
      <c r="C2" s="260"/>
      <c r="D2" s="96"/>
      <c r="E2" s="260"/>
      <c r="F2" s="260"/>
      <c r="G2" s="260"/>
      <c r="H2" s="260"/>
      <c r="I2" s="260"/>
    </row>
    <row r="3" spans="1:12" ht="13">
      <c r="A3" s="19" t="s">
        <v>24</v>
      </c>
      <c r="B3" s="19"/>
      <c r="C3" s="262" t="str">
        <f>[1]BNWLA!C3</f>
        <v>BNWLA</v>
      </c>
      <c r="D3" s="97"/>
      <c r="E3" s="263"/>
      <c r="F3" s="263"/>
      <c r="G3" s="263"/>
      <c r="H3" s="263"/>
      <c r="I3" s="263"/>
    </row>
    <row r="4" spans="1:12" ht="13">
      <c r="A4" s="264" t="s">
        <v>115</v>
      </c>
      <c r="B4" s="264"/>
      <c r="C4" s="262" t="str">
        <f>[1]BNWLA!C4</f>
        <v>6885-19-A-04</v>
      </c>
      <c r="D4" s="101"/>
      <c r="E4" s="259"/>
      <c r="F4" s="259"/>
      <c r="G4" s="259"/>
      <c r="H4" s="259"/>
      <c r="I4" s="259"/>
    </row>
    <row r="5" spans="1:12" ht="19.5" customHeight="1">
      <c r="A5" s="264" t="s">
        <v>43</v>
      </c>
      <c r="B5" s="264"/>
      <c r="C5" s="262" t="str">
        <f>[1]BNWLA!C5</f>
        <v>Ashshash: For Men and Women Who Have Escaped Trafficking</v>
      </c>
      <c r="D5" s="101"/>
      <c r="E5" s="259"/>
      <c r="F5" s="259"/>
      <c r="G5" s="259"/>
      <c r="H5" s="259"/>
      <c r="I5" s="259"/>
    </row>
    <row r="6" spans="1:12" ht="13">
      <c r="A6" s="264" t="s">
        <v>118</v>
      </c>
      <c r="B6" s="264"/>
      <c r="C6" s="262" t="str">
        <f>[1]BNWLA!C6</f>
        <v>Cox's Bazar</v>
      </c>
      <c r="D6" s="103"/>
    </row>
    <row r="7" spans="1:12" ht="31.9" customHeight="1">
      <c r="A7" s="510" t="s">
        <v>119</v>
      </c>
      <c r="B7" s="510"/>
      <c r="C7" s="265" t="s">
        <v>120</v>
      </c>
      <c r="D7" s="266" t="s">
        <v>188</v>
      </c>
      <c r="E7" s="265" t="s">
        <v>121</v>
      </c>
      <c r="F7" s="266" t="s">
        <v>189</v>
      </c>
      <c r="G7" s="267"/>
      <c r="H7" s="267"/>
      <c r="I7" s="267"/>
    </row>
    <row r="8" spans="1:12" ht="13">
      <c r="A8" s="264" t="s">
        <v>49</v>
      </c>
      <c r="B8" s="264"/>
      <c r="C8" s="268" t="str">
        <f>[1]BNWLA!C8</f>
        <v>30 months</v>
      </c>
      <c r="D8" s="103"/>
      <c r="E8" s="259"/>
      <c r="F8" s="259"/>
      <c r="G8" s="259"/>
      <c r="H8" s="259"/>
      <c r="I8" s="259"/>
    </row>
    <row r="9" spans="1:12" ht="13">
      <c r="A9" s="264"/>
      <c r="B9" s="264"/>
      <c r="C9" s="269"/>
      <c r="D9" s="97"/>
    </row>
    <row r="10" spans="1:12" ht="3.65" customHeight="1" thickBot="1">
      <c r="A10" s="264"/>
      <c r="B10" s="264"/>
    </row>
    <row r="11" spans="1:12" s="259" customFormat="1" ht="26">
      <c r="A11" s="270" t="s">
        <v>21</v>
      </c>
      <c r="B11" s="271" t="s">
        <v>18</v>
      </c>
      <c r="C11" s="156" t="s">
        <v>37</v>
      </c>
      <c r="D11" s="157" t="s">
        <v>122</v>
      </c>
      <c r="E11" s="156" t="s">
        <v>123</v>
      </c>
      <c r="F11" s="156" t="s">
        <v>124</v>
      </c>
      <c r="G11" s="156" t="s">
        <v>125</v>
      </c>
      <c r="H11" s="363" t="s">
        <v>126</v>
      </c>
      <c r="I11" s="272"/>
      <c r="J11" s="261"/>
      <c r="K11" s="261"/>
      <c r="L11" s="261"/>
    </row>
    <row r="12" spans="1:12" ht="29.25" customHeight="1">
      <c r="A12" s="273">
        <v>1</v>
      </c>
      <c r="B12" s="274"/>
      <c r="C12" s="151" t="s">
        <v>45</v>
      </c>
      <c r="D12" s="152" t="s">
        <v>127</v>
      </c>
      <c r="E12" s="153" t="s">
        <v>128</v>
      </c>
      <c r="F12" s="153" t="s">
        <v>129</v>
      </c>
      <c r="G12" s="153" t="s">
        <v>130</v>
      </c>
      <c r="H12" s="364" t="s">
        <v>131</v>
      </c>
      <c r="I12" s="272"/>
    </row>
    <row r="13" spans="1:12" s="264" customFormat="1" ht="21.65" customHeight="1">
      <c r="A13" s="275"/>
      <c r="B13" s="276" t="s">
        <v>94</v>
      </c>
      <c r="C13" s="45" t="s">
        <v>29</v>
      </c>
      <c r="D13" s="112">
        <v>3123823.25</v>
      </c>
      <c r="E13" s="112">
        <f>SUM(E14:E17)</f>
        <v>947867</v>
      </c>
      <c r="F13" s="112">
        <f>SUM(F14:F17)</f>
        <v>95000</v>
      </c>
      <c r="G13" s="112">
        <f>SUM(E13:F13)</f>
        <v>1042867</v>
      </c>
      <c r="H13" s="145">
        <f>D13-G13</f>
        <v>2080956.25</v>
      </c>
      <c r="I13" s="277"/>
      <c r="J13" s="261"/>
      <c r="K13" s="261"/>
      <c r="L13" s="261"/>
    </row>
    <row r="14" spans="1:12" ht="15.75" customHeight="1">
      <c r="A14" s="278"/>
      <c r="B14" s="279"/>
      <c r="C14" s="280" t="str">
        <f>[1]BNWLA!C14</f>
        <v>Project Coordinator  100%</v>
      </c>
      <c r="D14" s="115">
        <v>1644117.5</v>
      </c>
      <c r="E14" s="172">
        <v>535000</v>
      </c>
      <c r="F14" s="188">
        <v>50000</v>
      </c>
      <c r="G14" s="281">
        <f>E14+F14</f>
        <v>585000</v>
      </c>
      <c r="H14" s="365"/>
      <c r="I14" s="282"/>
      <c r="K14" s="267"/>
    </row>
    <row r="15" spans="1:12" ht="15.75" customHeight="1">
      <c r="A15" s="278"/>
      <c r="B15" s="279"/>
      <c r="C15" s="280" t="str">
        <f>[1]BNWLA!C15</f>
        <v>Dhaka HO Finance/Program/ M&amp;E (partial)</v>
      </c>
      <c r="D15" s="115">
        <v>164411.75</v>
      </c>
      <c r="E15" s="173">
        <f>60000</f>
        <v>60000</v>
      </c>
      <c r="F15" s="189">
        <v>5000</v>
      </c>
      <c r="G15" s="281">
        <f>E15+F15</f>
        <v>65000</v>
      </c>
      <c r="H15" s="366"/>
      <c r="I15" s="283"/>
    </row>
    <row r="16" spans="1:12" ht="15.75" customHeight="1">
      <c r="A16" s="278"/>
      <c r="B16" s="279"/>
      <c r="C16" s="280" t="str">
        <f>[1]BNWLA!C16</f>
        <v>Project Accounts &amp; Admin Officer 100%</v>
      </c>
      <c r="D16" s="115">
        <v>986470.5</v>
      </c>
      <c r="E16" s="173">
        <f>313000</f>
        <v>313000</v>
      </c>
      <c r="F16" s="189">
        <v>30000</v>
      </c>
      <c r="G16" s="281">
        <f>E16+F16</f>
        <v>343000</v>
      </c>
      <c r="H16" s="366"/>
      <c r="I16" s="283"/>
    </row>
    <row r="17" spans="1:12" ht="15.75" customHeight="1">
      <c r="A17" s="278"/>
      <c r="B17" s="279"/>
      <c r="C17" s="280" t="str">
        <f>[1]BNWLA!C17</f>
        <v>Office Support / Operations Assistant</v>
      </c>
      <c r="D17" s="115">
        <v>328823.5</v>
      </c>
      <c r="E17" s="173">
        <f>39867</f>
        <v>39867</v>
      </c>
      <c r="F17" s="191">
        <v>10000</v>
      </c>
      <c r="G17" s="281">
        <f>E17+F17</f>
        <v>49867</v>
      </c>
      <c r="H17" s="366"/>
      <c r="I17" s="283"/>
    </row>
    <row r="18" spans="1:12" ht="20.149999999999999" customHeight="1">
      <c r="A18" s="278"/>
      <c r="B18" s="279"/>
      <c r="C18" s="280"/>
      <c r="D18" s="119"/>
      <c r="E18" s="284"/>
      <c r="F18" s="285"/>
      <c r="G18" s="284"/>
      <c r="H18" s="366"/>
      <c r="I18" s="283"/>
    </row>
    <row r="19" spans="1:12" s="264" customFormat="1" ht="21.65" customHeight="1">
      <c r="A19" s="275"/>
      <c r="B19" s="276" t="s">
        <v>94</v>
      </c>
      <c r="C19" s="45" t="s">
        <v>30</v>
      </c>
      <c r="D19" s="112">
        <v>606523.32499999995</v>
      </c>
      <c r="E19" s="112">
        <f>SUM(E20:E24)</f>
        <v>235564.75</v>
      </c>
      <c r="F19" s="219">
        <f>SUM(F20:F24)</f>
        <v>33172.43</v>
      </c>
      <c r="G19" s="112">
        <f>SUM(E19:F19)</f>
        <v>268737.18</v>
      </c>
      <c r="H19" s="145">
        <f>D19-G19</f>
        <v>337786.14499999996</v>
      </c>
      <c r="I19" s="277"/>
      <c r="J19" s="261"/>
      <c r="K19" s="261"/>
      <c r="L19" s="261"/>
    </row>
    <row r="20" spans="1:12" ht="13.5" customHeight="1">
      <c r="A20" s="278"/>
      <c r="B20" s="279"/>
      <c r="C20" s="284" t="str">
        <f>[1]BNWLA!C20</f>
        <v>Office Rent</v>
      </c>
      <c r="D20" s="115">
        <v>308473.5</v>
      </c>
      <c r="E20" s="187">
        <f>108945+F20</f>
        <v>121050</v>
      </c>
      <c r="F20" s="191">
        <v>12105</v>
      </c>
      <c r="G20" s="281">
        <f>E20+F20</f>
        <v>133155</v>
      </c>
      <c r="H20" s="366"/>
      <c r="I20" s="283"/>
      <c r="K20" s="267"/>
    </row>
    <row r="21" spans="1:12" ht="13.5" customHeight="1">
      <c r="A21" s="278"/>
      <c r="B21" s="279"/>
      <c r="C21" s="284" t="str">
        <f>[1]BNWLA!C21</f>
        <v xml:space="preserve">Utilities &amp; Stationary </v>
      </c>
      <c r="D21" s="115">
        <v>61694.7</v>
      </c>
      <c r="E21" s="173">
        <v>24505.75</v>
      </c>
      <c r="F21" s="189">
        <v>8537.43</v>
      </c>
      <c r="G21" s="281">
        <f>E21+F21</f>
        <v>33043.18</v>
      </c>
      <c r="H21" s="366"/>
      <c r="I21" s="283"/>
    </row>
    <row r="22" spans="1:12" ht="13.5" customHeight="1">
      <c r="A22" s="278"/>
      <c r="B22" s="279"/>
      <c r="C22" s="284" t="str">
        <f>[1]BNWLA!C22</f>
        <v>Courier, mobile, internet etc.</v>
      </c>
      <c r="D22" s="115">
        <v>77118.375</v>
      </c>
      <c r="E22" s="187">
        <v>32889</v>
      </c>
      <c r="F22" s="191">
        <v>2910</v>
      </c>
      <c r="G22" s="281">
        <f>E22+F22</f>
        <v>35799</v>
      </c>
      <c r="H22" s="366"/>
      <c r="I22" s="283"/>
    </row>
    <row r="23" spans="1:12" ht="13.5" customHeight="1">
      <c r="A23" s="278"/>
      <c r="B23" s="279"/>
      <c r="C23" s="284" t="str">
        <f>[1]BNWLA!C23</f>
        <v>Recruitment Cost</v>
      </c>
      <c r="D23" s="115">
        <v>5000</v>
      </c>
      <c r="E23" s="173">
        <v>6195</v>
      </c>
      <c r="F23" s="189">
        <v>0</v>
      </c>
      <c r="G23" s="281">
        <f>E23+F23</f>
        <v>6195</v>
      </c>
      <c r="H23" s="366"/>
      <c r="I23" s="283"/>
    </row>
    <row r="24" spans="1:12" ht="13.5" customHeight="1">
      <c r="A24" s="278"/>
      <c r="B24" s="279"/>
      <c r="C24" s="284" t="str">
        <f>[1]BNWLA!C24</f>
        <v>Travel cost (local and inter district)</v>
      </c>
      <c r="D24" s="115">
        <v>154236.75</v>
      </c>
      <c r="E24" s="187">
        <v>50925</v>
      </c>
      <c r="F24" s="191">
        <v>9620</v>
      </c>
      <c r="G24" s="281">
        <f>E24+F24</f>
        <v>60545</v>
      </c>
      <c r="H24" s="366"/>
      <c r="I24" s="283"/>
    </row>
    <row r="25" spans="1:12" ht="13.5" customHeight="1">
      <c r="A25" s="278"/>
      <c r="B25" s="279"/>
      <c r="C25" s="284"/>
      <c r="D25" s="119"/>
      <c r="E25" s="284"/>
      <c r="F25" s="285"/>
      <c r="G25" s="284"/>
      <c r="H25" s="366"/>
      <c r="I25" s="283"/>
    </row>
    <row r="26" spans="1:12" ht="13">
      <c r="A26" s="286">
        <v>2</v>
      </c>
      <c r="B26" s="287"/>
      <c r="C26" s="39" t="s">
        <v>52</v>
      </c>
      <c r="D26" s="120"/>
      <c r="E26" s="39"/>
      <c r="F26" s="39"/>
      <c r="G26" s="39"/>
      <c r="H26" s="121"/>
      <c r="I26" s="288"/>
    </row>
    <row r="27" spans="1:12" s="264" customFormat="1" ht="21.65" customHeight="1">
      <c r="A27" s="275"/>
      <c r="B27" s="276" t="s">
        <v>94</v>
      </c>
      <c r="C27" s="45" t="s">
        <v>66</v>
      </c>
      <c r="D27" s="112">
        <v>30000</v>
      </c>
      <c r="E27" s="112">
        <f>SUM(E28)</f>
        <v>29647</v>
      </c>
      <c r="F27" s="112">
        <f>SUM(F28)</f>
        <v>0</v>
      </c>
      <c r="G27" s="112">
        <f>SUM(E27:F27)</f>
        <v>29647</v>
      </c>
      <c r="H27" s="145">
        <f>D27-G27</f>
        <v>353</v>
      </c>
      <c r="I27" s="277"/>
      <c r="J27" s="261"/>
      <c r="K27" s="261"/>
      <c r="L27" s="261"/>
    </row>
    <row r="28" spans="1:12">
      <c r="A28" s="278"/>
      <c r="B28" s="279"/>
      <c r="C28" s="284" t="s">
        <v>66</v>
      </c>
      <c r="D28" s="115">
        <v>30000</v>
      </c>
      <c r="E28" s="173">
        <v>29647</v>
      </c>
      <c r="F28" s="173">
        <v>0</v>
      </c>
      <c r="G28" s="281">
        <f>E28+F28</f>
        <v>29647</v>
      </c>
      <c r="H28" s="366"/>
      <c r="I28" s="283"/>
    </row>
    <row r="29" spans="1:12">
      <c r="A29" s="278"/>
      <c r="B29" s="279"/>
      <c r="C29" s="284"/>
      <c r="D29" s="115"/>
      <c r="E29" s="284"/>
      <c r="F29" s="284"/>
      <c r="G29" s="284"/>
      <c r="H29" s="366"/>
      <c r="I29" s="283"/>
    </row>
    <row r="30" spans="1:12" s="264" customFormat="1" ht="29.5" customHeight="1">
      <c r="A30" s="275">
        <v>1</v>
      </c>
      <c r="B30" s="276" t="s">
        <v>94</v>
      </c>
      <c r="C30" s="45" t="s">
        <v>47</v>
      </c>
      <c r="D30" s="112">
        <v>1856942.7249999999</v>
      </c>
      <c r="E30" s="112">
        <f>SUM(E31:E35)</f>
        <v>437720</v>
      </c>
      <c r="F30" s="112">
        <f>SUM(F31:F35)</f>
        <v>67140</v>
      </c>
      <c r="G30" s="112">
        <f>SUM(E30:F30)</f>
        <v>504860</v>
      </c>
      <c r="H30" s="145">
        <f>D30-G30</f>
        <v>1352082.7249999999</v>
      </c>
      <c r="I30" s="277"/>
      <c r="J30" s="261"/>
      <c r="K30" s="261"/>
      <c r="L30" s="261"/>
    </row>
    <row r="31" spans="1:12">
      <c r="A31" s="278"/>
      <c r="B31" s="279"/>
      <c r="C31" s="284" t="s">
        <v>82</v>
      </c>
      <c r="D31" s="119">
        <v>0</v>
      </c>
      <c r="E31" s="284"/>
      <c r="F31" s="284"/>
      <c r="G31" s="281">
        <f>E31+F31</f>
        <v>0</v>
      </c>
      <c r="H31" s="366"/>
      <c r="I31" s="283"/>
    </row>
    <row r="32" spans="1:12" ht="25">
      <c r="A32" s="278"/>
      <c r="B32" s="279"/>
      <c r="C32" s="284" t="s">
        <v>98</v>
      </c>
      <c r="D32" s="119">
        <v>49323.524999999994</v>
      </c>
      <c r="E32" s="284"/>
      <c r="F32" s="284"/>
      <c r="G32" s="281">
        <f>E32+F32</f>
        <v>0</v>
      </c>
      <c r="H32" s="366"/>
      <c r="I32" s="283"/>
    </row>
    <row r="33" spans="1:12" ht="15" customHeight="1">
      <c r="A33" s="278"/>
      <c r="B33" s="279"/>
      <c r="C33" s="284" t="s">
        <v>99</v>
      </c>
      <c r="D33" s="119">
        <v>25706.125</v>
      </c>
      <c r="E33" s="284"/>
      <c r="F33" s="284"/>
      <c r="G33" s="281">
        <f>E33+F33</f>
        <v>0</v>
      </c>
      <c r="H33" s="366"/>
      <c r="I33" s="283"/>
    </row>
    <row r="34" spans="1:12" ht="15" customHeight="1">
      <c r="A34" s="278"/>
      <c r="B34" s="279"/>
      <c r="C34" s="284" t="s">
        <v>100</v>
      </c>
      <c r="D34" s="119">
        <v>1627676.325</v>
      </c>
      <c r="E34" s="173">
        <v>421300</v>
      </c>
      <c r="F34" s="173">
        <v>49500</v>
      </c>
      <c r="G34" s="281">
        <f>E34+F34</f>
        <v>470800</v>
      </c>
      <c r="H34" s="366"/>
      <c r="I34" s="283"/>
    </row>
    <row r="35" spans="1:12" ht="15" customHeight="1">
      <c r="A35" s="278"/>
      <c r="B35" s="279"/>
      <c r="C35" s="284" t="s">
        <v>101</v>
      </c>
      <c r="D35" s="119">
        <v>154236.75</v>
      </c>
      <c r="E35" s="187">
        <v>16420</v>
      </c>
      <c r="F35" s="187">
        <v>17640</v>
      </c>
      <c r="G35" s="281">
        <f>E35+F35</f>
        <v>34060</v>
      </c>
      <c r="H35" s="366"/>
      <c r="I35" s="283"/>
    </row>
    <row r="36" spans="1:12" ht="15" customHeight="1">
      <c r="A36" s="278"/>
      <c r="B36" s="279"/>
      <c r="C36" s="284"/>
      <c r="D36" s="119"/>
      <c r="E36" s="284"/>
      <c r="F36" s="284"/>
      <c r="G36" s="284"/>
      <c r="H36" s="366"/>
      <c r="I36" s="283"/>
    </row>
    <row r="37" spans="1:12" s="264" customFormat="1" ht="30" customHeight="1">
      <c r="A37" s="275">
        <v>2</v>
      </c>
      <c r="B37" s="276" t="s">
        <v>94</v>
      </c>
      <c r="C37" s="45" t="s">
        <v>53</v>
      </c>
      <c r="D37" s="112">
        <v>1687550.925</v>
      </c>
      <c r="E37" s="112">
        <f>SUM(E38:E43)</f>
        <v>492339</v>
      </c>
      <c r="F37" s="112">
        <f>SUM(F38:F43)</f>
        <v>56590</v>
      </c>
      <c r="G37" s="112">
        <f>SUM(E37:F37)</f>
        <v>548929</v>
      </c>
      <c r="H37" s="145">
        <f>D37-G37</f>
        <v>1138621.925</v>
      </c>
      <c r="I37" s="277"/>
      <c r="J37" s="261"/>
      <c r="K37" s="261"/>
      <c r="L37" s="261"/>
    </row>
    <row r="38" spans="1:12">
      <c r="A38" s="278"/>
      <c r="B38" s="279"/>
      <c r="C38" s="289" t="s">
        <v>41</v>
      </c>
      <c r="D38" s="119">
        <v>0</v>
      </c>
      <c r="E38" s="289"/>
      <c r="F38" s="289"/>
      <c r="G38" s="281">
        <f t="shared" ref="G38:G43" si="0">E38+F38</f>
        <v>0</v>
      </c>
      <c r="H38" s="367"/>
      <c r="I38" s="290"/>
    </row>
    <row r="39" spans="1:12">
      <c r="A39" s="278"/>
      <c r="B39" s="279"/>
      <c r="C39" s="289" t="s">
        <v>32</v>
      </c>
      <c r="D39" s="119">
        <v>0</v>
      </c>
      <c r="E39" s="289"/>
      <c r="F39" s="289"/>
      <c r="G39" s="281">
        <f t="shared" si="0"/>
        <v>0</v>
      </c>
      <c r="H39" s="367"/>
      <c r="I39" s="290"/>
    </row>
    <row r="40" spans="1:12">
      <c r="A40" s="278"/>
      <c r="B40" s="279"/>
      <c r="C40" s="289" t="s">
        <v>74</v>
      </c>
      <c r="D40" s="119">
        <v>107965.72499999999</v>
      </c>
      <c r="E40" s="173">
        <v>7805</v>
      </c>
      <c r="F40" s="173">
        <v>10590</v>
      </c>
      <c r="G40" s="281">
        <f t="shared" si="0"/>
        <v>18395</v>
      </c>
      <c r="H40" s="367"/>
      <c r="I40" s="290"/>
    </row>
    <row r="41" spans="1:12">
      <c r="A41" s="278"/>
      <c r="B41" s="279"/>
      <c r="C41" s="289" t="s">
        <v>75</v>
      </c>
      <c r="D41" s="119">
        <v>36149.75</v>
      </c>
      <c r="E41" s="289"/>
      <c r="F41" s="289"/>
      <c r="G41" s="281">
        <f t="shared" si="0"/>
        <v>0</v>
      </c>
      <c r="H41" s="367"/>
      <c r="I41" s="290"/>
    </row>
    <row r="42" spans="1:12" ht="25">
      <c r="A42" s="278"/>
      <c r="B42" s="279"/>
      <c r="C42" s="289" t="s">
        <v>102</v>
      </c>
      <c r="D42" s="119">
        <v>30847.35</v>
      </c>
      <c r="E42" s="289"/>
      <c r="F42" s="289"/>
      <c r="G42" s="281">
        <f t="shared" si="0"/>
        <v>0</v>
      </c>
      <c r="H42" s="367"/>
      <c r="I42" s="290"/>
    </row>
    <row r="43" spans="1:12">
      <c r="A43" s="278"/>
      <c r="B43" s="279"/>
      <c r="C43" s="289" t="s">
        <v>103</v>
      </c>
      <c r="D43" s="119">
        <v>1512588.1</v>
      </c>
      <c r="E43" s="173">
        <v>484534</v>
      </c>
      <c r="F43" s="173">
        <v>46000</v>
      </c>
      <c r="G43" s="281">
        <f t="shared" si="0"/>
        <v>530534</v>
      </c>
      <c r="H43" s="367"/>
      <c r="I43" s="290"/>
    </row>
    <row r="44" spans="1:12">
      <c r="A44" s="278"/>
      <c r="B44" s="279"/>
      <c r="C44" s="289"/>
      <c r="D44" s="119"/>
      <c r="E44" s="289"/>
      <c r="F44" s="289"/>
      <c r="G44" s="289"/>
      <c r="H44" s="367"/>
      <c r="I44" s="290"/>
    </row>
    <row r="45" spans="1:12" s="264" customFormat="1" ht="13">
      <c r="A45" s="275">
        <v>3</v>
      </c>
      <c r="B45" s="276" t="s">
        <v>94</v>
      </c>
      <c r="C45" s="45" t="s">
        <v>54</v>
      </c>
      <c r="D45" s="112">
        <v>126388.175</v>
      </c>
      <c r="E45" s="112">
        <f>SUM(E46:E47)</f>
        <v>10724</v>
      </c>
      <c r="F45" s="112">
        <f>SUM(F46:F47)</f>
        <v>0</v>
      </c>
      <c r="G45" s="112">
        <f>SUM(E45:F45)</f>
        <v>10724</v>
      </c>
      <c r="H45" s="145">
        <f>D45-G45</f>
        <v>115664.175</v>
      </c>
      <c r="I45" s="277"/>
      <c r="J45" s="261"/>
      <c r="K45" s="261"/>
      <c r="L45" s="261"/>
    </row>
    <row r="46" spans="1:12">
      <c r="A46" s="278"/>
      <c r="B46" s="279"/>
      <c r="C46" s="228" t="s">
        <v>46</v>
      </c>
      <c r="D46" s="125">
        <v>102824.5</v>
      </c>
      <c r="E46" s="228"/>
      <c r="F46" s="228"/>
      <c r="G46" s="228"/>
      <c r="H46" s="368"/>
      <c r="I46" s="290"/>
    </row>
    <row r="47" spans="1:12">
      <c r="A47" s="278"/>
      <c r="B47" s="279"/>
      <c r="C47" s="228" t="s">
        <v>33</v>
      </c>
      <c r="D47" s="125">
        <v>23563.674999999999</v>
      </c>
      <c r="E47" s="189">
        <v>10724</v>
      </c>
      <c r="F47" s="191">
        <v>0</v>
      </c>
      <c r="G47" s="281">
        <f>E47+F47</f>
        <v>10724</v>
      </c>
      <c r="H47" s="368"/>
      <c r="I47" s="290"/>
    </row>
    <row r="48" spans="1:12">
      <c r="A48" s="278"/>
      <c r="B48" s="279"/>
      <c r="C48" s="291"/>
      <c r="D48" s="127"/>
      <c r="E48" s="291"/>
      <c r="F48" s="291"/>
      <c r="G48" s="291"/>
      <c r="H48" s="344"/>
    </row>
    <row r="49" spans="1:12" s="264" customFormat="1" ht="28.9" customHeight="1">
      <c r="A49" s="275">
        <v>4</v>
      </c>
      <c r="B49" s="276" t="s">
        <v>94</v>
      </c>
      <c r="C49" s="45" t="s">
        <v>22</v>
      </c>
      <c r="D49" s="112">
        <v>77331.637499999997</v>
      </c>
      <c r="E49" s="112">
        <f>SUM(E50:E52)</f>
        <v>0</v>
      </c>
      <c r="F49" s="112">
        <f>SUM(F50:F52)</f>
        <v>0</v>
      </c>
      <c r="G49" s="112">
        <f>SUM(E49:F49)</f>
        <v>0</v>
      </c>
      <c r="H49" s="145">
        <f>D49-G49</f>
        <v>77331.637499999997</v>
      </c>
      <c r="I49" s="277"/>
      <c r="J49" s="261"/>
      <c r="K49" s="261"/>
      <c r="L49" s="261"/>
    </row>
    <row r="50" spans="1:12">
      <c r="A50" s="278"/>
      <c r="B50" s="279"/>
      <c r="C50" s="228" t="s">
        <v>105</v>
      </c>
      <c r="D50" s="125">
        <v>14245</v>
      </c>
      <c r="E50" s="228"/>
      <c r="F50" s="228"/>
      <c r="G50" s="281">
        <f>E50+F50</f>
        <v>0</v>
      </c>
      <c r="H50" s="368"/>
      <c r="I50" s="290"/>
    </row>
    <row r="51" spans="1:12">
      <c r="A51" s="278"/>
      <c r="B51" s="279"/>
      <c r="C51" s="228" t="s">
        <v>83</v>
      </c>
      <c r="D51" s="125">
        <v>12853.0625</v>
      </c>
      <c r="E51" s="228"/>
      <c r="F51" s="228"/>
      <c r="G51" s="281">
        <f>E51+F51</f>
        <v>0</v>
      </c>
      <c r="H51" s="368"/>
      <c r="I51" s="290"/>
    </row>
    <row r="52" spans="1:12">
      <c r="A52" s="278"/>
      <c r="B52" s="279"/>
      <c r="C52" s="228" t="s">
        <v>84</v>
      </c>
      <c r="D52" s="125">
        <v>50233.574999999997</v>
      </c>
      <c r="E52" s="228"/>
      <c r="F52" s="228"/>
      <c r="G52" s="281">
        <f>E52+F52</f>
        <v>0</v>
      </c>
      <c r="H52" s="368"/>
      <c r="I52" s="290"/>
    </row>
    <row r="53" spans="1:12">
      <c r="A53" s="278"/>
      <c r="B53" s="279"/>
      <c r="C53" s="228"/>
      <c r="D53" s="125"/>
      <c r="E53" s="228"/>
      <c r="F53" s="228"/>
      <c r="G53" s="228"/>
      <c r="H53" s="368"/>
      <c r="I53" s="290"/>
    </row>
    <row r="54" spans="1:12" s="264" customFormat="1" ht="31.15" customHeight="1">
      <c r="A54" s="275">
        <v>5</v>
      </c>
      <c r="B54" s="276" t="s">
        <v>94</v>
      </c>
      <c r="C54" s="45" t="s">
        <v>23</v>
      </c>
      <c r="D54" s="112">
        <v>51412.25</v>
      </c>
      <c r="E54" s="112">
        <f>SUM(E55:E56)</f>
        <v>0</v>
      </c>
      <c r="F54" s="112">
        <f>SUM(F55:F56)</f>
        <v>0</v>
      </c>
      <c r="G54" s="112">
        <f>SUM(E54:F54)</f>
        <v>0</v>
      </c>
      <c r="H54" s="145">
        <f>D54-G54</f>
        <v>51412.25</v>
      </c>
      <c r="I54" s="277"/>
      <c r="J54" s="261"/>
      <c r="K54" s="261"/>
      <c r="L54" s="261"/>
    </row>
    <row r="55" spans="1:12" ht="25">
      <c r="A55" s="278"/>
      <c r="B55" s="279"/>
      <c r="C55" s="228" t="s">
        <v>59</v>
      </c>
      <c r="D55" s="125">
        <v>51412.25</v>
      </c>
      <c r="E55" s="228"/>
      <c r="F55" s="228"/>
      <c r="G55" s="281">
        <f>E55+F55</f>
        <v>0</v>
      </c>
      <c r="H55" s="368"/>
      <c r="I55" s="290"/>
    </row>
    <row r="56" spans="1:12">
      <c r="A56" s="278"/>
      <c r="B56" s="279"/>
      <c r="C56" s="228" t="s">
        <v>58</v>
      </c>
      <c r="D56" s="125">
        <v>0</v>
      </c>
      <c r="E56" s="228"/>
      <c r="F56" s="228"/>
      <c r="G56" s="281">
        <f>E56+F56</f>
        <v>0</v>
      </c>
      <c r="H56" s="368"/>
      <c r="I56" s="290"/>
    </row>
    <row r="57" spans="1:12">
      <c r="A57" s="278"/>
      <c r="B57" s="279"/>
      <c r="C57" s="228"/>
      <c r="D57" s="125"/>
      <c r="E57" s="228"/>
      <c r="F57" s="228"/>
      <c r="G57" s="281">
        <f>E57+F57</f>
        <v>0</v>
      </c>
      <c r="H57" s="368"/>
      <c r="I57" s="290"/>
    </row>
    <row r="58" spans="1:12">
      <c r="A58" s="278"/>
      <c r="B58" s="279"/>
      <c r="C58" s="228"/>
      <c r="D58" s="125"/>
      <c r="E58" s="228"/>
      <c r="F58" s="228"/>
      <c r="G58" s="228"/>
      <c r="H58" s="368"/>
      <c r="I58" s="290"/>
    </row>
    <row r="59" spans="1:12" s="264" customFormat="1" ht="31.9" customHeight="1">
      <c r="A59" s="275">
        <v>6</v>
      </c>
      <c r="B59" s="276" t="s">
        <v>95</v>
      </c>
      <c r="C59" s="45" t="s">
        <v>60</v>
      </c>
      <c r="D59" s="112">
        <v>354830.02500000002</v>
      </c>
      <c r="E59" s="112">
        <f>SUM(E60:E67)</f>
        <v>8095</v>
      </c>
      <c r="F59" s="112">
        <f>SUM(F60:F67)</f>
        <v>2956</v>
      </c>
      <c r="G59" s="112">
        <f>SUM(E59:F59)</f>
        <v>11051</v>
      </c>
      <c r="H59" s="145">
        <f>D59-G59</f>
        <v>343779.02500000002</v>
      </c>
      <c r="I59" s="277"/>
      <c r="J59" s="261"/>
      <c r="K59" s="261"/>
      <c r="L59" s="261"/>
    </row>
    <row r="60" spans="1:12" s="264" customFormat="1" ht="25">
      <c r="A60" s="292"/>
      <c r="B60" s="279"/>
      <c r="C60" s="228" t="s">
        <v>61</v>
      </c>
      <c r="D60" s="125">
        <v>5000</v>
      </c>
      <c r="E60" s="228"/>
      <c r="F60" s="228"/>
      <c r="G60" s="281">
        <f t="shared" ref="G60:G68" si="1">E60+F60</f>
        <v>0</v>
      </c>
      <c r="H60" s="368"/>
      <c r="I60" s="290"/>
      <c r="J60" s="261"/>
      <c r="K60" s="261"/>
      <c r="L60" s="261"/>
    </row>
    <row r="61" spans="1:12" s="264" customFormat="1" ht="22.5" customHeight="1">
      <c r="A61" s="292"/>
      <c r="B61" s="279"/>
      <c r="C61" s="228" t="s">
        <v>86</v>
      </c>
      <c r="D61" s="125">
        <v>70000</v>
      </c>
      <c r="E61" s="189">
        <v>5395</v>
      </c>
      <c r="F61" s="189">
        <v>0</v>
      </c>
      <c r="G61" s="281">
        <f t="shared" si="1"/>
        <v>5395</v>
      </c>
      <c r="H61" s="368"/>
      <c r="I61" s="290"/>
      <c r="J61" s="261"/>
      <c r="K61" s="261"/>
      <c r="L61" s="261"/>
    </row>
    <row r="62" spans="1:12" s="264" customFormat="1" ht="37.5">
      <c r="A62" s="292"/>
      <c r="B62" s="279"/>
      <c r="C62" s="289" t="s">
        <v>62</v>
      </c>
      <c r="D62" s="125">
        <v>61587.25</v>
      </c>
      <c r="E62" s="289"/>
      <c r="F62" s="289"/>
      <c r="G62" s="281">
        <f t="shared" si="1"/>
        <v>0</v>
      </c>
      <c r="H62" s="367"/>
      <c r="I62" s="290"/>
      <c r="J62" s="261"/>
      <c r="K62" s="261"/>
      <c r="L62" s="261"/>
    </row>
    <row r="63" spans="1:12" s="264" customFormat="1" ht="13">
      <c r="A63" s="292"/>
      <c r="B63" s="279"/>
      <c r="C63" s="289" t="s">
        <v>104</v>
      </c>
      <c r="D63" s="125">
        <v>27956.024999999998</v>
      </c>
      <c r="E63" s="289"/>
      <c r="F63" s="289"/>
      <c r="G63" s="281">
        <f t="shared" si="1"/>
        <v>0</v>
      </c>
      <c r="H63" s="367"/>
      <c r="I63" s="290"/>
      <c r="J63" s="261"/>
      <c r="K63" s="261"/>
      <c r="L63" s="261"/>
    </row>
    <row r="64" spans="1:12">
      <c r="A64" s="278"/>
      <c r="B64" s="279"/>
      <c r="C64" s="289" t="s">
        <v>106</v>
      </c>
      <c r="D64" s="125">
        <v>102824.5</v>
      </c>
      <c r="E64" s="173">
        <v>2700</v>
      </c>
      <c r="F64" s="173">
        <v>2956</v>
      </c>
      <c r="G64" s="281">
        <f t="shared" si="1"/>
        <v>5656</v>
      </c>
      <c r="H64" s="367"/>
      <c r="I64" s="290"/>
    </row>
    <row r="65" spans="1:12">
      <c r="A65" s="278"/>
      <c r="B65" s="279"/>
      <c r="C65" s="289" t="s">
        <v>107</v>
      </c>
      <c r="D65" s="125">
        <v>61587.25</v>
      </c>
      <c r="E65" s="289"/>
      <c r="F65" s="231"/>
      <c r="G65" s="281">
        <f t="shared" si="1"/>
        <v>0</v>
      </c>
      <c r="H65" s="367"/>
      <c r="I65" s="290"/>
    </row>
    <row r="66" spans="1:12">
      <c r="A66" s="278"/>
      <c r="B66" s="279"/>
      <c r="C66" s="289" t="s">
        <v>108</v>
      </c>
      <c r="D66" s="125">
        <v>25874.999999999996</v>
      </c>
      <c r="E66" s="289"/>
      <c r="F66" s="289"/>
      <c r="G66" s="281">
        <f t="shared" si="1"/>
        <v>0</v>
      </c>
      <c r="H66" s="367"/>
      <c r="I66" s="290"/>
    </row>
    <row r="67" spans="1:12" s="264" customFormat="1" ht="13">
      <c r="A67" s="292"/>
      <c r="B67" s="279"/>
      <c r="C67" s="289" t="s">
        <v>109</v>
      </c>
      <c r="D67" s="125"/>
      <c r="E67" s="289"/>
      <c r="F67" s="289"/>
      <c r="G67" s="281">
        <f t="shared" si="1"/>
        <v>0</v>
      </c>
      <c r="H67" s="367"/>
      <c r="I67" s="290"/>
      <c r="J67" s="261"/>
      <c r="K67" s="261"/>
      <c r="L67" s="261"/>
    </row>
    <row r="68" spans="1:12" s="264" customFormat="1" ht="13">
      <c r="A68" s="292"/>
      <c r="B68" s="293"/>
      <c r="C68" s="228"/>
      <c r="D68" s="125"/>
      <c r="E68" s="228"/>
      <c r="F68" s="228"/>
      <c r="G68" s="281">
        <f t="shared" si="1"/>
        <v>0</v>
      </c>
      <c r="H68" s="368"/>
      <c r="I68" s="290"/>
      <c r="J68" s="261"/>
      <c r="K68" s="261"/>
      <c r="L68" s="261"/>
    </row>
    <row r="69" spans="1:12" s="264" customFormat="1" ht="28.9" customHeight="1">
      <c r="A69" s="275">
        <v>7</v>
      </c>
      <c r="B69" s="276" t="s">
        <v>96</v>
      </c>
      <c r="C69" s="45" t="s">
        <v>17</v>
      </c>
      <c r="D69" s="112">
        <f>SUM(D70:D76)</f>
        <v>220001.45</v>
      </c>
      <c r="E69" s="112">
        <f>SUM(E70:E76)</f>
        <v>27198</v>
      </c>
      <c r="F69" s="112">
        <f>SUM(F70:F76)</f>
        <v>0</v>
      </c>
      <c r="G69" s="112">
        <f>SUM(E69:F69)</f>
        <v>27198</v>
      </c>
      <c r="H69" s="145">
        <f>D69-G69</f>
        <v>192803.45</v>
      </c>
      <c r="I69" s="277"/>
      <c r="J69" s="261"/>
      <c r="K69" s="261"/>
      <c r="L69" s="261"/>
    </row>
    <row r="70" spans="1:12">
      <c r="A70" s="278"/>
      <c r="B70" s="279"/>
      <c r="C70" s="228" t="s">
        <v>87</v>
      </c>
      <c r="D70" s="125">
        <v>148239.20000000001</v>
      </c>
      <c r="E70" s="228"/>
      <c r="F70" s="228"/>
      <c r="G70" s="281">
        <f t="shared" ref="G70:G76" si="2">E70+F70</f>
        <v>0</v>
      </c>
      <c r="H70" s="368"/>
      <c r="I70" s="290"/>
    </row>
    <row r="71" spans="1:12">
      <c r="A71" s="278"/>
      <c r="B71" s="279"/>
      <c r="C71" s="228"/>
      <c r="D71" s="125"/>
      <c r="E71" s="228"/>
      <c r="F71" s="228"/>
      <c r="G71" s="281">
        <f t="shared" si="2"/>
        <v>0</v>
      </c>
      <c r="H71" s="368"/>
      <c r="I71" s="290"/>
    </row>
    <row r="72" spans="1:12">
      <c r="A72" s="278"/>
      <c r="B72" s="279"/>
      <c r="C72" s="228"/>
      <c r="D72" s="125"/>
      <c r="E72" s="228"/>
      <c r="F72" s="228"/>
      <c r="G72" s="281">
        <f t="shared" si="2"/>
        <v>0</v>
      </c>
      <c r="H72" s="368"/>
      <c r="I72" s="290"/>
    </row>
    <row r="73" spans="1:12" ht="13">
      <c r="A73" s="278"/>
      <c r="B73" s="279"/>
      <c r="C73" s="294" t="s">
        <v>70</v>
      </c>
      <c r="D73" s="128"/>
      <c r="E73" s="294"/>
      <c r="F73" s="294"/>
      <c r="G73" s="281">
        <f t="shared" si="2"/>
        <v>0</v>
      </c>
      <c r="H73" s="369"/>
      <c r="I73" s="277"/>
    </row>
    <row r="74" spans="1:12">
      <c r="A74" s="278"/>
      <c r="B74" s="279"/>
      <c r="C74" s="228" t="s">
        <v>67</v>
      </c>
      <c r="D74" s="125">
        <v>31062.25</v>
      </c>
      <c r="E74" s="189">
        <v>10038</v>
      </c>
      <c r="F74" s="189">
        <v>0</v>
      </c>
      <c r="G74" s="281">
        <f t="shared" si="2"/>
        <v>10038</v>
      </c>
      <c r="H74" s="368"/>
      <c r="I74" s="290"/>
    </row>
    <row r="75" spans="1:12">
      <c r="A75" s="278"/>
      <c r="B75" s="279"/>
      <c r="C75" s="228" t="s">
        <v>69</v>
      </c>
      <c r="D75" s="125">
        <v>20350</v>
      </c>
      <c r="E75" s="189">
        <v>17160</v>
      </c>
      <c r="F75" s="189">
        <v>0</v>
      </c>
      <c r="G75" s="281">
        <f t="shared" si="2"/>
        <v>17160</v>
      </c>
      <c r="H75" s="368"/>
      <c r="I75" s="290"/>
    </row>
    <row r="76" spans="1:12">
      <c r="A76" s="278"/>
      <c r="B76" s="279"/>
      <c r="C76" s="228" t="s">
        <v>68</v>
      </c>
      <c r="D76" s="125">
        <v>20350</v>
      </c>
      <c r="E76" s="228"/>
      <c r="F76" s="228"/>
      <c r="G76" s="281">
        <f t="shared" si="2"/>
        <v>0</v>
      </c>
      <c r="H76" s="368"/>
      <c r="I76" s="290"/>
    </row>
    <row r="77" spans="1:12">
      <c r="A77" s="278"/>
      <c r="B77" s="279"/>
      <c r="C77" s="228"/>
      <c r="D77" s="125"/>
      <c r="E77" s="228"/>
      <c r="F77" s="228"/>
      <c r="G77" s="228"/>
      <c r="H77" s="368"/>
      <c r="I77" s="290"/>
    </row>
    <row r="78" spans="1:12" s="264" customFormat="1" ht="28.9" customHeight="1">
      <c r="A78" s="275">
        <v>8</v>
      </c>
      <c r="B78" s="276" t="s">
        <v>97</v>
      </c>
      <c r="C78" s="45" t="s">
        <v>81</v>
      </c>
      <c r="D78" s="112">
        <v>259570.02499999999</v>
      </c>
      <c r="E78" s="112">
        <f>SUM(E79:E82)</f>
        <v>0</v>
      </c>
      <c r="F78" s="112">
        <f>SUM(F79:F82)</f>
        <v>0</v>
      </c>
      <c r="G78" s="112">
        <f>SUM(E78:F78)</f>
        <v>0</v>
      </c>
      <c r="H78" s="145">
        <f>D78-G78</f>
        <v>259570.02499999999</v>
      </c>
      <c r="I78" s="277"/>
      <c r="J78" s="261"/>
      <c r="K78" s="261"/>
      <c r="L78" s="261"/>
    </row>
    <row r="79" spans="1:12" ht="25">
      <c r="A79" s="278"/>
      <c r="B79" s="279"/>
      <c r="C79" s="228" t="s">
        <v>80</v>
      </c>
      <c r="D79" s="125">
        <v>25000</v>
      </c>
      <c r="E79" s="228"/>
      <c r="F79" s="228"/>
      <c r="G79" s="281">
        <f>E79+F79</f>
        <v>0</v>
      </c>
      <c r="H79" s="368"/>
      <c r="I79" s="290"/>
    </row>
    <row r="80" spans="1:12">
      <c r="A80" s="278"/>
      <c r="B80" s="279"/>
      <c r="C80" s="289" t="s">
        <v>110</v>
      </c>
      <c r="D80" s="125">
        <v>51412.25</v>
      </c>
      <c r="E80" s="228"/>
      <c r="F80" s="228"/>
      <c r="G80" s="281">
        <f>E80+F80</f>
        <v>0</v>
      </c>
      <c r="H80" s="368"/>
      <c r="I80" s="290"/>
    </row>
    <row r="81" spans="1:12">
      <c r="A81" s="278"/>
      <c r="B81" s="279"/>
      <c r="C81" s="289" t="s">
        <v>111</v>
      </c>
      <c r="D81" s="125">
        <v>34168.474999999999</v>
      </c>
      <c r="E81" s="228"/>
      <c r="F81" s="228"/>
      <c r="G81" s="281">
        <f>E81+F81</f>
        <v>0</v>
      </c>
      <c r="H81" s="368"/>
      <c r="I81" s="290"/>
    </row>
    <row r="82" spans="1:12">
      <c r="A82" s="278"/>
      <c r="B82" s="279"/>
      <c r="C82" s="228" t="s">
        <v>114</v>
      </c>
      <c r="D82" s="125">
        <v>118464.29999999999</v>
      </c>
      <c r="E82" s="228"/>
      <c r="F82" s="228"/>
      <c r="G82" s="281">
        <f>E82+F82</f>
        <v>0</v>
      </c>
      <c r="H82" s="368"/>
      <c r="I82" s="290"/>
    </row>
    <row r="83" spans="1:12" ht="17.5" customHeight="1">
      <c r="A83" s="278"/>
      <c r="B83" s="279"/>
      <c r="C83" s="228" t="s">
        <v>112</v>
      </c>
      <c r="D83" s="125">
        <v>30525</v>
      </c>
      <c r="E83" s="228"/>
      <c r="F83" s="228"/>
      <c r="G83" s="281">
        <f>E83+F83</f>
        <v>0</v>
      </c>
      <c r="H83" s="368"/>
      <c r="I83" s="290"/>
    </row>
    <row r="84" spans="1:12" s="264" customFormat="1" ht="28.9" customHeight="1">
      <c r="A84" s="275">
        <v>9</v>
      </c>
      <c r="B84" s="276" t="s">
        <v>94</v>
      </c>
      <c r="C84" s="45" t="s">
        <v>57</v>
      </c>
      <c r="D84" s="112">
        <f>SUM(D85:D85)</f>
        <v>205626.21250000037</v>
      </c>
      <c r="E84" s="112">
        <v>0</v>
      </c>
      <c r="F84" s="112">
        <f>SUM(F85)</f>
        <v>0</v>
      </c>
      <c r="G84" s="112">
        <f>SUM(E84:F84)</f>
        <v>0</v>
      </c>
      <c r="H84" s="145">
        <f>D84-G84</f>
        <v>205626.21250000037</v>
      </c>
      <c r="I84" s="277"/>
      <c r="J84" s="261"/>
      <c r="K84" s="261"/>
      <c r="L84" s="261"/>
    </row>
    <row r="85" spans="1:12" ht="28.9" customHeight="1">
      <c r="A85" s="278"/>
      <c r="B85" s="279"/>
      <c r="C85" s="228" t="s">
        <v>88</v>
      </c>
      <c r="D85" s="125">
        <v>205626.21250000037</v>
      </c>
      <c r="E85" s="228"/>
      <c r="F85" s="228"/>
      <c r="G85" s="281">
        <f>E85+F85</f>
        <v>0</v>
      </c>
      <c r="H85" s="368"/>
      <c r="I85" s="290"/>
    </row>
    <row r="86" spans="1:12" ht="45" customHeight="1">
      <c r="A86" s="278"/>
      <c r="B86" s="295" t="s">
        <v>181</v>
      </c>
      <c r="C86" s="227" t="s">
        <v>182</v>
      </c>
      <c r="D86" s="112">
        <f>SUM(D87:D87)</f>
        <v>558000</v>
      </c>
      <c r="E86" s="112">
        <f>SUM(E87:E88)</f>
        <v>563022</v>
      </c>
      <c r="F86" s="112">
        <f>SUM(F87)</f>
        <v>0</v>
      </c>
      <c r="G86" s="112">
        <f>SUM(E86:F86)</f>
        <v>563022</v>
      </c>
      <c r="H86" s="145">
        <f>D86-G86</f>
        <v>-5022</v>
      </c>
      <c r="I86" s="290"/>
    </row>
    <row r="87" spans="1:12" ht="17.5" customHeight="1">
      <c r="A87" s="278"/>
      <c r="B87" s="279"/>
      <c r="C87" s="228" t="s">
        <v>183</v>
      </c>
      <c r="D87" s="127">
        <v>558000</v>
      </c>
      <c r="E87" s="189">
        <v>563022</v>
      </c>
      <c r="F87" s="191">
        <v>0</v>
      </c>
      <c r="G87" s="281">
        <f>E87+F87</f>
        <v>563022</v>
      </c>
      <c r="H87" s="368"/>
      <c r="I87" s="290"/>
    </row>
    <row r="88" spans="1:12" ht="17.5" customHeight="1">
      <c r="A88" s="278"/>
      <c r="B88" s="279"/>
      <c r="C88" s="228"/>
      <c r="D88" s="125"/>
      <c r="E88" s="228"/>
      <c r="F88" s="228"/>
      <c r="G88" s="228"/>
      <c r="H88" s="368"/>
      <c r="I88" s="290"/>
    </row>
    <row r="89" spans="1:12" ht="20.149999999999999" customHeight="1" thickBot="1">
      <c r="A89" s="296"/>
      <c r="B89" s="297"/>
      <c r="C89" s="131" t="s">
        <v>55</v>
      </c>
      <c r="D89" s="148">
        <f>SUM(D84,D86,D78,D69,D59,D54,D49,D45,D37,D30,D27, D13,D19)</f>
        <v>9158000</v>
      </c>
      <c r="E89" s="148">
        <f>SUM(E84,E86,E78,E69,E59,E54,E49,E45,E37,E30,E27, E13,E19)</f>
        <v>2752176.75</v>
      </c>
      <c r="F89" s="148">
        <f>SUM(F84,F86,F78,F69,F59,F54,F49,F45,F37,F30,F27, F13,F19)</f>
        <v>254858.43</v>
      </c>
      <c r="G89" s="148">
        <f>SUM(G84,G86,G78,G69,G59,G54,G49,G45,G37,G30,G27, G13,G19)</f>
        <v>3007035.18</v>
      </c>
      <c r="H89" s="149">
        <f>SUM(H84,H86,H78,H69,H59,H54,H49,H45,H37,H30,H27, H13,H19)</f>
        <v>6150964.8200000003</v>
      </c>
      <c r="I89" s="298"/>
    </row>
    <row r="90" spans="1:12" ht="20.149999999999999" customHeight="1"/>
    <row r="93" spans="1:12" ht="13.5">
      <c r="C93" s="299" t="s">
        <v>134</v>
      </c>
      <c r="D93" s="299"/>
      <c r="E93" s="300"/>
      <c r="F93" s="301"/>
    </row>
    <row r="94" spans="1:12" ht="13.5">
      <c r="C94" s="299"/>
      <c r="D94" s="299"/>
      <c r="E94" s="300"/>
      <c r="F94" s="301"/>
    </row>
    <row r="95" spans="1:12" ht="42" customHeight="1">
      <c r="C95" s="299" t="s">
        <v>135</v>
      </c>
      <c r="D95" s="302"/>
      <c r="E95" s="300"/>
      <c r="F95" s="303"/>
    </row>
    <row r="96" spans="1:12" ht="13.5">
      <c r="C96" s="299"/>
      <c r="D96" s="299"/>
      <c r="E96" s="300"/>
      <c r="F96" s="301"/>
    </row>
    <row r="97" spans="3:8" ht="13.5">
      <c r="C97" s="299" t="s">
        <v>136</v>
      </c>
      <c r="D97" s="299"/>
      <c r="E97" s="300"/>
      <c r="F97" s="301"/>
    </row>
    <row r="98" spans="3:8" ht="15.75" customHeight="1">
      <c r="C98" s="304" t="s">
        <v>152</v>
      </c>
      <c r="D98" s="305"/>
      <c r="E98" s="304" t="s">
        <v>137</v>
      </c>
      <c r="F98" s="306">
        <v>415000</v>
      </c>
    </row>
    <row r="99" spans="3:8" ht="15.75" customHeight="1">
      <c r="C99" s="304" t="s">
        <v>158</v>
      </c>
      <c r="D99" s="305"/>
      <c r="E99" s="304" t="s">
        <v>137</v>
      </c>
      <c r="F99" s="306">
        <v>257250</v>
      </c>
    </row>
    <row r="100" spans="3:8" ht="13.5">
      <c r="C100" s="304" t="s">
        <v>153</v>
      </c>
      <c r="D100" s="305"/>
      <c r="E100" s="304" t="s">
        <v>137</v>
      </c>
      <c r="F100" s="306">
        <v>620.69000000000005</v>
      </c>
    </row>
    <row r="101" spans="3:8" ht="13.5">
      <c r="C101" s="304" t="s">
        <v>178</v>
      </c>
      <c r="D101" s="305"/>
      <c r="E101" s="304" t="s">
        <v>137</v>
      </c>
      <c r="F101" s="307">
        <v>247300</v>
      </c>
    </row>
    <row r="102" spans="3:8" ht="13.5">
      <c r="C102" s="304" t="s">
        <v>179</v>
      </c>
      <c r="D102" s="305"/>
      <c r="E102" s="304" t="s">
        <v>137</v>
      </c>
      <c r="F102" s="307">
        <v>264700</v>
      </c>
    </row>
    <row r="103" spans="3:8" ht="13.5">
      <c r="C103" s="304" t="s">
        <v>180</v>
      </c>
      <c r="D103" s="305"/>
      <c r="E103" s="304" t="s">
        <v>137</v>
      </c>
      <c r="F103" s="307">
        <v>2327.4899999999998</v>
      </c>
    </row>
    <row r="104" spans="3:8" ht="13.5">
      <c r="C104" s="304" t="s">
        <v>184</v>
      </c>
      <c r="D104" s="305"/>
      <c r="E104" s="304" t="s">
        <v>137</v>
      </c>
      <c r="F104" s="307">
        <v>793000</v>
      </c>
    </row>
    <row r="105" spans="3:8" ht="13.5">
      <c r="C105" s="304" t="s">
        <v>185</v>
      </c>
      <c r="D105" s="305"/>
      <c r="E105" s="304"/>
      <c r="F105" s="307">
        <v>519700</v>
      </c>
    </row>
    <row r="106" spans="3:8" ht="13.5">
      <c r="C106" s="304" t="s">
        <v>187</v>
      </c>
      <c r="D106" s="305"/>
      <c r="E106" s="304"/>
      <c r="F106" s="307">
        <v>309100</v>
      </c>
    </row>
    <row r="107" spans="3:8" ht="13.5">
      <c r="C107" s="304" t="s">
        <v>190</v>
      </c>
      <c r="D107" s="305"/>
      <c r="E107" s="304"/>
      <c r="F107" s="307">
        <v>211451</v>
      </c>
    </row>
    <row r="108" spans="3:8" ht="13.5">
      <c r="C108" s="299"/>
      <c r="D108" s="299"/>
      <c r="E108" s="300"/>
      <c r="F108" s="308"/>
      <c r="G108" s="309"/>
      <c r="H108" s="267"/>
    </row>
    <row r="109" spans="3:8" ht="13.5">
      <c r="C109" s="310" t="s">
        <v>138</v>
      </c>
      <c r="D109" s="310"/>
      <c r="E109" s="311"/>
      <c r="F109" s="312">
        <f>SUM(F98:F107)</f>
        <v>3020449.1799999997</v>
      </c>
    </row>
    <row r="110" spans="3:8" ht="13.5">
      <c r="C110" s="299"/>
      <c r="D110" s="299"/>
      <c r="E110" s="300"/>
      <c r="F110" s="308"/>
    </row>
    <row r="111" spans="3:8" ht="13.5">
      <c r="C111" s="299" t="s">
        <v>139</v>
      </c>
      <c r="D111" s="299"/>
      <c r="E111" s="300"/>
      <c r="F111" s="185">
        <f>G89</f>
        <v>3007035.18</v>
      </c>
    </row>
    <row r="112" spans="3:8" ht="13.5">
      <c r="C112" s="299"/>
      <c r="D112" s="299"/>
      <c r="E112" s="300"/>
      <c r="F112" s="304"/>
      <c r="H112" s="184"/>
    </row>
    <row r="113" spans="3:8" ht="13.5">
      <c r="C113" s="310" t="s">
        <v>140</v>
      </c>
      <c r="D113" s="313"/>
      <c r="E113" s="311"/>
      <c r="F113" s="314">
        <f>F109-F111</f>
        <v>13413.999999999534</v>
      </c>
    </row>
    <row r="114" spans="3:8" ht="13.5">
      <c r="C114" s="299"/>
      <c r="D114" s="300"/>
      <c r="E114" s="301"/>
      <c r="F114" s="300"/>
      <c r="H114" s="267"/>
    </row>
    <row r="121" spans="3:8" ht="13">
      <c r="C121" s="264" t="s">
        <v>154</v>
      </c>
      <c r="D121" s="186"/>
      <c r="E121" s="264"/>
      <c r="F121" s="264"/>
      <c r="G121" s="264" t="s">
        <v>156</v>
      </c>
      <c r="H121" s="264"/>
    </row>
    <row r="122" spans="3:8" ht="13">
      <c r="C122" s="264"/>
      <c r="D122" s="186"/>
      <c r="E122" s="264"/>
      <c r="F122" s="264"/>
      <c r="G122" s="264"/>
      <c r="H122" s="264"/>
    </row>
    <row r="123" spans="3:8" ht="13">
      <c r="C123" s="264"/>
      <c r="D123" s="186"/>
      <c r="E123" s="264"/>
      <c r="F123" s="264"/>
      <c r="G123" s="264"/>
      <c r="H123" s="264"/>
    </row>
    <row r="124" spans="3:8" ht="13">
      <c r="C124" s="264"/>
      <c r="D124" s="186"/>
      <c r="E124" s="264"/>
      <c r="F124" s="264"/>
      <c r="G124" s="264"/>
      <c r="H124" s="264"/>
    </row>
    <row r="125" spans="3:8" ht="13">
      <c r="C125" s="264" t="s">
        <v>155</v>
      </c>
      <c r="D125" s="186"/>
      <c r="E125" s="264"/>
      <c r="F125" s="264"/>
      <c r="G125" s="264" t="s">
        <v>176</v>
      </c>
      <c r="H125" s="264"/>
    </row>
    <row r="126" spans="3:8" ht="13">
      <c r="C126" s="264" t="s">
        <v>186</v>
      </c>
      <c r="D126" s="186"/>
      <c r="E126" s="264"/>
      <c r="F126" s="264"/>
      <c r="G126" s="264" t="s">
        <v>177</v>
      </c>
      <c r="H126" s="264"/>
    </row>
    <row r="127" spans="3:8" ht="13">
      <c r="C127" s="264" t="s">
        <v>91</v>
      </c>
      <c r="D127" s="186"/>
      <c r="E127" s="264"/>
      <c r="F127" s="264"/>
      <c r="G127" s="264" t="s">
        <v>91</v>
      </c>
      <c r="H127" s="264"/>
    </row>
    <row r="128" spans="3:8" ht="13">
      <c r="C128" s="264"/>
      <c r="D128" s="186"/>
      <c r="E128" s="264"/>
      <c r="F128" s="264"/>
      <c r="G128" s="264"/>
      <c r="H128" s="264"/>
    </row>
    <row r="129" spans="3:8" ht="13">
      <c r="C129" s="264"/>
      <c r="D129" s="186"/>
      <c r="E129" s="264"/>
      <c r="F129" s="264"/>
      <c r="G129" s="264"/>
      <c r="H129" s="264"/>
    </row>
  </sheetData>
  <mergeCells count="2">
    <mergeCell ref="B1:F1"/>
    <mergeCell ref="A7:B7"/>
  </mergeCells>
  <printOptions horizontalCentered="1"/>
  <pageMargins left="0.5" right="0.2" top="0.5" bottom="0.5" header="0.3" footer="0.3"/>
  <pageSetup paperSize="9" scale="65" orientation="landscape" errors="dash" horizontalDpi="300" verticalDpi="300" r:id="rId1"/>
  <headerFooter>
    <oddFooter>Page &amp;P of &amp;N</oddFooter>
  </headerFooter>
  <rowBreaks count="2" manualBreakCount="2">
    <brk id="48" max="9" man="1"/>
    <brk id="89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M129"/>
  <sheetViews>
    <sheetView showGridLines="0" view="pageBreakPreview" topLeftCell="A84" zoomScale="70" zoomScaleNormal="90" zoomScaleSheetLayoutView="70" workbookViewId="0">
      <selection activeCell="J1" sqref="A1:J89"/>
    </sheetView>
  </sheetViews>
  <sheetFormatPr defaultColWidth="9.1796875" defaultRowHeight="12.5"/>
  <cols>
    <col min="1" max="1" width="6.26953125" style="15" customWidth="1"/>
    <col min="2" max="2" width="16.1796875" style="15" customWidth="1"/>
    <col min="3" max="3" width="52.453125" style="17" bestFit="1" customWidth="1"/>
    <col min="4" max="4" width="14.26953125" style="109" customWidth="1"/>
    <col min="5" max="5" width="24.26953125" style="17" customWidth="1"/>
    <col min="6" max="6" width="21.1796875" style="17" customWidth="1"/>
    <col min="7" max="7" width="22.7265625" style="17" bestFit="1" customWidth="1"/>
    <col min="8" max="8" width="18" style="17" customWidth="1"/>
    <col min="9" max="9" width="26.7265625" style="17" customWidth="1"/>
    <col min="10" max="10" width="8" style="104" customWidth="1"/>
    <col min="11" max="11" width="15.453125" style="17" bestFit="1" customWidth="1"/>
    <col min="12" max="12" width="9.1796875" style="17"/>
    <col min="13" max="13" width="12.1796875" style="17" bestFit="1" customWidth="1"/>
    <col min="14" max="16384" width="9.1796875" style="17"/>
  </cols>
  <sheetData>
    <row r="1" spans="1:13" ht="31.9" customHeight="1">
      <c r="B1" s="511" t="s">
        <v>150</v>
      </c>
      <c r="C1" s="511"/>
      <c r="D1" s="511"/>
      <c r="E1" s="511"/>
      <c r="F1" s="511"/>
      <c r="G1" s="16"/>
      <c r="H1" s="16"/>
      <c r="I1" s="16"/>
      <c r="J1" s="95"/>
    </row>
    <row r="2" spans="1:13" ht="18.75" customHeight="1">
      <c r="B2" s="16"/>
      <c r="C2" s="16"/>
      <c r="D2" s="96"/>
      <c r="E2" s="16"/>
      <c r="F2" s="16"/>
      <c r="G2" s="16"/>
      <c r="H2" s="16"/>
      <c r="I2" s="16"/>
      <c r="J2" s="95"/>
    </row>
    <row r="3" spans="1:13" ht="13">
      <c r="A3" s="19" t="s">
        <v>24</v>
      </c>
      <c r="B3" s="19"/>
      <c r="C3" s="20" t="str">
        <f>'BNWLA_Modification 2'!C3</f>
        <v>BNWLA</v>
      </c>
      <c r="D3" s="97"/>
      <c r="E3" s="98"/>
      <c r="F3" s="98"/>
      <c r="G3" s="98"/>
      <c r="H3" s="98"/>
      <c r="I3" s="98"/>
      <c r="J3" s="99"/>
    </row>
    <row r="4" spans="1:13" ht="13">
      <c r="A4" s="22" t="s">
        <v>115</v>
      </c>
      <c r="B4" s="22"/>
      <c r="C4" s="20" t="str">
        <f>'BNWLA_Modification 2'!C4</f>
        <v>6885-19-A-04</v>
      </c>
      <c r="D4" s="101"/>
      <c r="E4" s="23"/>
      <c r="F4" s="23"/>
      <c r="G4" s="23"/>
      <c r="H4" s="23"/>
      <c r="I4" s="23"/>
      <c r="J4" s="102"/>
    </row>
    <row r="5" spans="1:13" ht="19.5" customHeight="1">
      <c r="A5" s="22" t="s">
        <v>43</v>
      </c>
      <c r="B5" s="22"/>
      <c r="C5" s="20" t="str">
        <f>'BNWLA_Modification 2'!C5</f>
        <v>Ashshash: For Men and Women Who Have Escaped Trafficking</v>
      </c>
      <c r="D5" s="101"/>
      <c r="E5" s="23"/>
      <c r="F5" s="23"/>
      <c r="G5" s="23"/>
      <c r="H5" s="23"/>
      <c r="I5" s="23"/>
      <c r="J5" s="102"/>
    </row>
    <row r="6" spans="1:13" ht="13">
      <c r="A6" s="22" t="s">
        <v>118</v>
      </c>
      <c r="B6" s="22"/>
      <c r="C6" s="20" t="str">
        <f>'BNWLA_Modification 2'!C6</f>
        <v>Cox's Bazar</v>
      </c>
      <c r="D6" s="103"/>
    </row>
    <row r="7" spans="1:13" ht="31.9" customHeight="1">
      <c r="A7" s="479" t="s">
        <v>119</v>
      </c>
      <c r="B7" s="479"/>
      <c r="C7" s="105" t="s">
        <v>120</v>
      </c>
      <c r="D7" s="106" t="s">
        <v>188</v>
      </c>
      <c r="E7" s="105" t="s">
        <v>121</v>
      </c>
      <c r="F7" s="106" t="s">
        <v>189</v>
      </c>
      <c r="G7" s="107"/>
      <c r="H7" s="107"/>
      <c r="I7" s="107"/>
      <c r="J7" s="108"/>
    </row>
    <row r="8" spans="1:13" ht="13">
      <c r="A8" s="22" t="s">
        <v>49</v>
      </c>
      <c r="B8" s="22"/>
      <c r="C8" s="74" t="str">
        <f>'BNWLA_Modification 2'!C8</f>
        <v>30 months</v>
      </c>
      <c r="D8" s="103"/>
      <c r="E8" s="102"/>
      <c r="F8" s="102"/>
      <c r="G8" s="102"/>
      <c r="H8" s="102"/>
      <c r="I8" s="102"/>
      <c r="J8" s="102"/>
    </row>
    <row r="9" spans="1:13" ht="13">
      <c r="A9" s="22"/>
      <c r="B9" s="22"/>
      <c r="C9" s="80"/>
      <c r="D9" s="97"/>
      <c r="E9" s="81"/>
      <c r="F9" s="81"/>
      <c r="G9" s="81"/>
      <c r="H9" s="81"/>
      <c r="I9" s="160"/>
    </row>
    <row r="10" spans="1:13" ht="3.65" customHeight="1" thickBot="1">
      <c r="A10" s="22"/>
      <c r="B10" s="22"/>
    </row>
    <row r="11" spans="1:13" s="15" customFormat="1" ht="26">
      <c r="A11" s="154" t="s">
        <v>21</v>
      </c>
      <c r="B11" s="155" t="s">
        <v>18</v>
      </c>
      <c r="C11" s="156" t="s">
        <v>37</v>
      </c>
      <c r="D11" s="157" t="s">
        <v>122</v>
      </c>
      <c r="E11" s="156" t="s">
        <v>123</v>
      </c>
      <c r="F11" s="156" t="s">
        <v>124</v>
      </c>
      <c r="G11" s="156" t="s">
        <v>125</v>
      </c>
      <c r="H11" s="161" t="s">
        <v>126</v>
      </c>
      <c r="I11" s="171"/>
      <c r="J11" s="111"/>
      <c r="K11" s="17"/>
      <c r="L11" s="17"/>
      <c r="M11" s="17"/>
    </row>
    <row r="12" spans="1:13" ht="29.25" customHeight="1">
      <c r="A12" s="158">
        <v>1</v>
      </c>
      <c r="B12" s="150"/>
      <c r="C12" s="151" t="s">
        <v>45</v>
      </c>
      <c r="D12" s="152" t="s">
        <v>127</v>
      </c>
      <c r="E12" s="153" t="s">
        <v>128</v>
      </c>
      <c r="F12" s="153" t="s">
        <v>129</v>
      </c>
      <c r="G12" s="153" t="s">
        <v>130</v>
      </c>
      <c r="H12" s="162" t="s">
        <v>131</v>
      </c>
      <c r="I12" s="220"/>
      <c r="J12" s="111"/>
    </row>
    <row r="13" spans="1:13" s="22" customFormat="1" ht="21.65" customHeight="1">
      <c r="A13" s="43"/>
      <c r="B13" s="44" t="s">
        <v>94</v>
      </c>
      <c r="C13" s="45" t="s">
        <v>29</v>
      </c>
      <c r="D13" s="112">
        <v>3123823.25</v>
      </c>
      <c r="E13" s="112">
        <f>SUM(E14:E17)</f>
        <v>947867</v>
      </c>
      <c r="F13" s="112">
        <f>SUM(F14:F17)</f>
        <v>95000</v>
      </c>
      <c r="G13" s="112">
        <f>SUM(E13:F13)</f>
        <v>1042867</v>
      </c>
      <c r="H13" s="163">
        <f>D13-G13</f>
        <v>2080956.25</v>
      </c>
      <c r="I13" s="221"/>
      <c r="J13" s="113"/>
      <c r="K13" s="17"/>
      <c r="L13" s="17"/>
      <c r="M13" s="17"/>
    </row>
    <row r="14" spans="1:13" ht="15.75" customHeight="1">
      <c r="A14" s="32"/>
      <c r="B14" s="33"/>
      <c r="C14" s="114" t="str">
        <f>'BNWLA_Modification 2'!C14</f>
        <v>Project Coordinator  100%</v>
      </c>
      <c r="D14" s="115">
        <v>1644117.5</v>
      </c>
      <c r="E14" s="172">
        <v>535000</v>
      </c>
      <c r="F14" s="188">
        <v>50000</v>
      </c>
      <c r="G14" s="238">
        <f>E14+F14</f>
        <v>585000</v>
      </c>
      <c r="H14" s="164"/>
      <c r="I14" s="221"/>
      <c r="J14" s="116"/>
      <c r="L14" s="31"/>
    </row>
    <row r="15" spans="1:13" ht="15.75" customHeight="1">
      <c r="A15" s="32"/>
      <c r="B15" s="33"/>
      <c r="C15" s="114" t="str">
        <f>'BNWLA_Modification 2'!C16</f>
        <v>Dhaka HO Finance</v>
      </c>
      <c r="D15" s="115">
        <v>164411.75</v>
      </c>
      <c r="E15" s="173">
        <f>60000</f>
        <v>60000</v>
      </c>
      <c r="F15" s="189">
        <v>5000</v>
      </c>
      <c r="G15" s="238">
        <f>E15+F15</f>
        <v>65000</v>
      </c>
      <c r="H15" s="165"/>
      <c r="I15" s="225"/>
      <c r="J15" s="118"/>
    </row>
    <row r="16" spans="1:13" ht="15.75" customHeight="1">
      <c r="A16" s="32"/>
      <c r="B16" s="33"/>
      <c r="C16" s="114" t="str">
        <f>'BNWLA_Modification 2'!C17</f>
        <v>Project Accounts &amp; Admin Officer 100% (Based Dhaka/ Cox'sBazar)</v>
      </c>
      <c r="D16" s="115">
        <v>986470.5</v>
      </c>
      <c r="E16" s="173">
        <f>313000</f>
        <v>313000</v>
      </c>
      <c r="F16" s="189">
        <v>30000</v>
      </c>
      <c r="G16" s="238">
        <f>E16+F16</f>
        <v>343000</v>
      </c>
      <c r="H16" s="165"/>
      <c r="I16" s="221"/>
      <c r="J16" s="118"/>
    </row>
    <row r="17" spans="1:13" ht="15.75" customHeight="1">
      <c r="A17" s="32"/>
      <c r="B17" s="33"/>
      <c r="C17" s="114" t="str">
        <f>'BNWLA_Modification 2'!C18</f>
        <v>Office Support / Operations Assistant</v>
      </c>
      <c r="D17" s="115">
        <v>328823.5</v>
      </c>
      <c r="E17" s="173">
        <f>39867</f>
        <v>39867</v>
      </c>
      <c r="F17" s="191">
        <v>10000</v>
      </c>
      <c r="G17" s="238">
        <f>E17+F17</f>
        <v>49867</v>
      </c>
      <c r="H17" s="165"/>
      <c r="I17" s="221"/>
      <c r="J17" s="118"/>
    </row>
    <row r="18" spans="1:13" ht="20.149999999999999" customHeight="1">
      <c r="A18" s="32"/>
      <c r="B18" s="33"/>
      <c r="C18" s="114"/>
      <c r="D18" s="119"/>
      <c r="E18" s="36"/>
      <c r="F18" s="190"/>
      <c r="G18" s="36"/>
      <c r="H18" s="165"/>
      <c r="I18" s="221"/>
      <c r="J18" s="118"/>
    </row>
    <row r="19" spans="1:13" s="22" customFormat="1" ht="21.65" customHeight="1">
      <c r="A19" s="43"/>
      <c r="B19" s="44" t="s">
        <v>94</v>
      </c>
      <c r="C19" s="45" t="s">
        <v>30</v>
      </c>
      <c r="D19" s="112">
        <v>606523.32499999995</v>
      </c>
      <c r="E19" s="112">
        <f>SUM(E20:E24)</f>
        <v>235564.75</v>
      </c>
      <c r="F19" s="219">
        <f>SUM(F20:F24)</f>
        <v>33172.43</v>
      </c>
      <c r="G19" s="112">
        <f>SUM(E19:F19)</f>
        <v>268737.18</v>
      </c>
      <c r="H19" s="163">
        <f>D19-G19</f>
        <v>337786.14499999996</v>
      </c>
      <c r="I19" s="221"/>
      <c r="J19" s="113"/>
      <c r="K19" s="17"/>
      <c r="L19" s="17"/>
      <c r="M19" s="17"/>
    </row>
    <row r="20" spans="1:13" ht="13.5" customHeight="1">
      <c r="A20" s="32"/>
      <c r="B20" s="33"/>
      <c r="C20" s="36" t="str">
        <f>'BNWLA_Modification 2'!C21</f>
        <v>Office Rent</v>
      </c>
      <c r="D20" s="115">
        <v>308473.5</v>
      </c>
      <c r="E20" s="187">
        <f>108945+F20</f>
        <v>121050</v>
      </c>
      <c r="F20" s="191">
        <v>12105</v>
      </c>
      <c r="G20" s="238">
        <f>E20+F20</f>
        <v>133155</v>
      </c>
      <c r="H20" s="165"/>
      <c r="I20" s="221"/>
      <c r="J20" s="118"/>
      <c r="L20" s="31"/>
    </row>
    <row r="21" spans="1:13" ht="13.5" customHeight="1">
      <c r="A21" s="32"/>
      <c r="B21" s="33"/>
      <c r="C21" s="36" t="str">
        <f>'BNWLA_Modification 2'!C22</f>
        <v xml:space="preserve">Utilities &amp; Stationary </v>
      </c>
      <c r="D21" s="115">
        <v>61694.7</v>
      </c>
      <c r="E21" s="173">
        <v>24505.75</v>
      </c>
      <c r="F21" s="189">
        <v>8537.43</v>
      </c>
      <c r="G21" s="238">
        <f>E21+F21</f>
        <v>33043.18</v>
      </c>
      <c r="H21" s="165"/>
      <c r="I21" s="221"/>
      <c r="J21" s="118"/>
    </row>
    <row r="22" spans="1:13" ht="13.5" customHeight="1">
      <c r="A22" s="32"/>
      <c r="B22" s="33"/>
      <c r="C22" s="36" t="str">
        <f>'BNWLA_Modification 2'!C23</f>
        <v>Courier, mobile, internet etc.</v>
      </c>
      <c r="D22" s="115">
        <v>77118.375</v>
      </c>
      <c r="E22" s="187">
        <v>32889</v>
      </c>
      <c r="F22" s="191">
        <v>2910</v>
      </c>
      <c r="G22" s="238">
        <f>E22+F22</f>
        <v>35799</v>
      </c>
      <c r="H22" s="165"/>
      <c r="I22" s="221"/>
      <c r="J22" s="118"/>
    </row>
    <row r="23" spans="1:13" ht="13.5" customHeight="1">
      <c r="A23" s="32"/>
      <c r="B23" s="33"/>
      <c r="C23" s="36" t="str">
        <f>'BNWLA_Modification 2'!C24</f>
        <v>Recruitment Cost</v>
      </c>
      <c r="D23" s="115">
        <v>5000</v>
      </c>
      <c r="E23" s="173">
        <v>6195</v>
      </c>
      <c r="F23" s="189">
        <v>0</v>
      </c>
      <c r="G23" s="238">
        <f>E23+F23</f>
        <v>6195</v>
      </c>
      <c r="H23" s="165"/>
      <c r="I23" s="221"/>
      <c r="J23" s="118"/>
    </row>
    <row r="24" spans="1:13" ht="13.5" customHeight="1">
      <c r="A24" s="32"/>
      <c r="B24" s="33"/>
      <c r="C24" s="36" t="str">
        <f>'BNWLA_Modification 2'!C25</f>
        <v>Travel cost (local and inter district)</v>
      </c>
      <c r="D24" s="115">
        <v>154236.75</v>
      </c>
      <c r="E24" s="187">
        <v>50925</v>
      </c>
      <c r="F24" s="191">
        <v>9620</v>
      </c>
      <c r="G24" s="238">
        <f>E24+F24</f>
        <v>60545</v>
      </c>
      <c r="H24" s="165"/>
      <c r="I24" s="221"/>
      <c r="J24" s="118"/>
    </row>
    <row r="25" spans="1:13" ht="13.5" customHeight="1">
      <c r="A25" s="32"/>
      <c r="B25" s="33"/>
      <c r="C25" s="36"/>
      <c r="D25" s="119"/>
      <c r="E25" s="36"/>
      <c r="F25" s="190"/>
      <c r="G25" s="36"/>
      <c r="H25" s="165"/>
      <c r="I25" s="221"/>
      <c r="J25" s="118"/>
    </row>
    <row r="26" spans="1:13" ht="13">
      <c r="A26" s="61">
        <v>2</v>
      </c>
      <c r="B26" s="38"/>
      <c r="C26" s="39" t="s">
        <v>52</v>
      </c>
      <c r="D26" s="120"/>
      <c r="E26" s="39"/>
      <c r="F26" s="39"/>
      <c r="G26" s="39"/>
      <c r="H26" s="166"/>
      <c r="I26" s="221"/>
      <c r="J26" s="122"/>
    </row>
    <row r="27" spans="1:13" s="22" customFormat="1" ht="21.65" customHeight="1">
      <c r="A27" s="43"/>
      <c r="B27" s="44" t="s">
        <v>94</v>
      </c>
      <c r="C27" s="45" t="s">
        <v>66</v>
      </c>
      <c r="D27" s="112">
        <v>30000</v>
      </c>
      <c r="E27" s="112">
        <f>SUM(E28)</f>
        <v>29647</v>
      </c>
      <c r="F27" s="112">
        <f>SUM(F28)</f>
        <v>0</v>
      </c>
      <c r="G27" s="112">
        <f>SUM(E27:F27)</f>
        <v>29647</v>
      </c>
      <c r="H27" s="163">
        <f>D27-G27</f>
        <v>353</v>
      </c>
      <c r="I27" s="221"/>
      <c r="J27" s="113"/>
      <c r="K27" s="17"/>
      <c r="L27" s="17"/>
      <c r="M27" s="17"/>
    </row>
    <row r="28" spans="1:13" ht="13">
      <c r="A28" s="32"/>
      <c r="B28" s="33"/>
      <c r="C28" s="36" t="s">
        <v>66</v>
      </c>
      <c r="D28" s="115">
        <v>30000</v>
      </c>
      <c r="E28" s="173">
        <v>29647</v>
      </c>
      <c r="F28" s="173">
        <v>0</v>
      </c>
      <c r="G28" s="238">
        <f>E28+F28</f>
        <v>29647</v>
      </c>
      <c r="H28" s="165"/>
      <c r="I28" s="221"/>
      <c r="J28" s="118"/>
    </row>
    <row r="29" spans="1:13" ht="13">
      <c r="A29" s="32"/>
      <c r="B29" s="33"/>
      <c r="C29" s="36"/>
      <c r="D29" s="115"/>
      <c r="E29" s="36"/>
      <c r="F29" s="36"/>
      <c r="G29" s="36"/>
      <c r="H29" s="165"/>
      <c r="I29" s="221"/>
      <c r="J29" s="118"/>
    </row>
    <row r="30" spans="1:13" s="22" customFormat="1" ht="29.5" customHeight="1">
      <c r="A30" s="43">
        <v>1</v>
      </c>
      <c r="B30" s="44" t="s">
        <v>94</v>
      </c>
      <c r="C30" s="45" t="s">
        <v>47</v>
      </c>
      <c r="D30" s="112">
        <v>1856942.7249999999</v>
      </c>
      <c r="E30" s="112">
        <f>SUM(E31:E35)</f>
        <v>437720</v>
      </c>
      <c r="F30" s="112">
        <f>SUM(F31:F35)</f>
        <v>67140</v>
      </c>
      <c r="G30" s="112">
        <f>SUM(E30:F30)</f>
        <v>504860</v>
      </c>
      <c r="H30" s="163">
        <f>D30-G30</f>
        <v>1352082.7249999999</v>
      </c>
      <c r="I30" s="221"/>
      <c r="J30" s="113"/>
      <c r="K30" s="17"/>
      <c r="L30" s="17"/>
      <c r="M30" s="17"/>
    </row>
    <row r="31" spans="1:13" ht="13">
      <c r="A31" s="32"/>
      <c r="B31" s="33"/>
      <c r="C31" s="36" t="s">
        <v>82</v>
      </c>
      <c r="D31" s="119">
        <v>0</v>
      </c>
      <c r="E31" s="36"/>
      <c r="F31" s="36"/>
      <c r="G31" s="238">
        <f>E31+F31</f>
        <v>0</v>
      </c>
      <c r="H31" s="165"/>
      <c r="I31" s="221"/>
      <c r="J31" s="118"/>
    </row>
    <row r="32" spans="1:13" ht="25">
      <c r="A32" s="32"/>
      <c r="B32" s="33"/>
      <c r="C32" s="36" t="s">
        <v>98</v>
      </c>
      <c r="D32" s="119">
        <v>49323.524999999994</v>
      </c>
      <c r="E32" s="36"/>
      <c r="F32" s="36"/>
      <c r="G32" s="238">
        <f>E32+F32</f>
        <v>0</v>
      </c>
      <c r="H32" s="165"/>
      <c r="I32" s="221"/>
      <c r="J32" s="118"/>
    </row>
    <row r="33" spans="1:13" ht="15" customHeight="1">
      <c r="A33" s="32"/>
      <c r="B33" s="33"/>
      <c r="C33" s="36" t="s">
        <v>99</v>
      </c>
      <c r="D33" s="119">
        <v>25706.125</v>
      </c>
      <c r="E33" s="36"/>
      <c r="F33" s="36"/>
      <c r="G33" s="238">
        <f>E33+F33</f>
        <v>0</v>
      </c>
      <c r="H33" s="165"/>
      <c r="I33" s="221"/>
      <c r="J33" s="118"/>
    </row>
    <row r="34" spans="1:13" ht="15" customHeight="1">
      <c r="A34" s="32"/>
      <c r="B34" s="33"/>
      <c r="C34" s="36" t="s">
        <v>100</v>
      </c>
      <c r="D34" s="119">
        <v>1627676.325</v>
      </c>
      <c r="E34" s="173">
        <v>421300</v>
      </c>
      <c r="F34" s="173">
        <v>49500</v>
      </c>
      <c r="G34" s="238">
        <f>E34+F34</f>
        <v>470800</v>
      </c>
      <c r="H34" s="165"/>
      <c r="I34" s="221"/>
      <c r="J34" s="118"/>
    </row>
    <row r="35" spans="1:13" ht="15" customHeight="1">
      <c r="A35" s="32"/>
      <c r="B35" s="33"/>
      <c r="C35" s="36" t="s">
        <v>101</v>
      </c>
      <c r="D35" s="119">
        <v>154236.75</v>
      </c>
      <c r="E35" s="187">
        <v>16420</v>
      </c>
      <c r="F35" s="187">
        <v>17640</v>
      </c>
      <c r="G35" s="238">
        <f>E35+F35</f>
        <v>34060</v>
      </c>
      <c r="H35" s="165"/>
      <c r="I35" s="221"/>
      <c r="J35" s="118"/>
    </row>
    <row r="36" spans="1:13" ht="15" customHeight="1">
      <c r="A36" s="32"/>
      <c r="B36" s="33"/>
      <c r="C36" s="36"/>
      <c r="D36" s="119"/>
      <c r="E36" s="36"/>
      <c r="F36" s="36"/>
      <c r="G36" s="36"/>
      <c r="H36" s="165"/>
      <c r="I36" s="221"/>
      <c r="J36" s="118"/>
    </row>
    <row r="37" spans="1:13" s="22" customFormat="1" ht="30" customHeight="1">
      <c r="A37" s="43">
        <v>2</v>
      </c>
      <c r="B37" s="44" t="s">
        <v>94</v>
      </c>
      <c r="C37" s="45" t="s">
        <v>53</v>
      </c>
      <c r="D37" s="112">
        <v>1687550.925</v>
      </c>
      <c r="E37" s="112">
        <f>SUM(E38:E43)</f>
        <v>492339</v>
      </c>
      <c r="F37" s="112">
        <f>SUM(F38:F43)</f>
        <v>56590</v>
      </c>
      <c r="G37" s="112">
        <f>SUM(E37:F37)</f>
        <v>548929</v>
      </c>
      <c r="H37" s="163">
        <f>D37-G37</f>
        <v>1138621.925</v>
      </c>
      <c r="I37" s="221"/>
      <c r="J37" s="113"/>
      <c r="K37" s="17"/>
      <c r="L37" s="17"/>
      <c r="M37" s="17"/>
    </row>
    <row r="38" spans="1:13" ht="13">
      <c r="A38" s="32"/>
      <c r="B38" s="33"/>
      <c r="C38" s="51" t="s">
        <v>41</v>
      </c>
      <c r="D38" s="119">
        <v>0</v>
      </c>
      <c r="E38" s="51"/>
      <c r="F38" s="51"/>
      <c r="G38" s="238">
        <f t="shared" ref="G38:G43" si="0">E38+F38</f>
        <v>0</v>
      </c>
      <c r="H38" s="167"/>
      <c r="I38" s="221"/>
      <c r="J38" s="124"/>
    </row>
    <row r="39" spans="1:13" ht="13">
      <c r="A39" s="32"/>
      <c r="B39" s="33"/>
      <c r="C39" s="51" t="s">
        <v>32</v>
      </c>
      <c r="D39" s="119">
        <v>0</v>
      </c>
      <c r="E39" s="51"/>
      <c r="F39" s="51"/>
      <c r="G39" s="238">
        <f t="shared" si="0"/>
        <v>0</v>
      </c>
      <c r="H39" s="167"/>
      <c r="I39" s="221"/>
      <c r="J39" s="124"/>
    </row>
    <row r="40" spans="1:13" ht="13">
      <c r="A40" s="32"/>
      <c r="B40" s="33"/>
      <c r="C40" s="51" t="s">
        <v>74</v>
      </c>
      <c r="D40" s="119">
        <v>107965.72499999999</v>
      </c>
      <c r="E40" s="173">
        <v>7805</v>
      </c>
      <c r="F40" s="173">
        <v>10590</v>
      </c>
      <c r="G40" s="238">
        <f t="shared" si="0"/>
        <v>18395</v>
      </c>
      <c r="H40" s="167"/>
      <c r="I40" s="221"/>
      <c r="J40" s="124"/>
    </row>
    <row r="41" spans="1:13" ht="13">
      <c r="A41" s="32"/>
      <c r="B41" s="33"/>
      <c r="C41" s="51" t="s">
        <v>75</v>
      </c>
      <c r="D41" s="119">
        <v>36149.75</v>
      </c>
      <c r="E41" s="51"/>
      <c r="F41" s="51"/>
      <c r="G41" s="238">
        <f t="shared" si="0"/>
        <v>0</v>
      </c>
      <c r="H41" s="167"/>
      <c r="I41" s="221"/>
      <c r="J41" s="124"/>
    </row>
    <row r="42" spans="1:13" ht="25">
      <c r="A42" s="32"/>
      <c r="B42" s="33"/>
      <c r="C42" s="51" t="s">
        <v>102</v>
      </c>
      <c r="D42" s="119">
        <v>30847.35</v>
      </c>
      <c r="E42" s="51"/>
      <c r="F42" s="51"/>
      <c r="G42" s="238">
        <f t="shared" si="0"/>
        <v>0</v>
      </c>
      <c r="H42" s="167"/>
      <c r="I42" s="221"/>
      <c r="J42" s="124"/>
    </row>
    <row r="43" spans="1:13" ht="13">
      <c r="A43" s="32"/>
      <c r="B43" s="33"/>
      <c r="C43" s="51" t="s">
        <v>103</v>
      </c>
      <c r="D43" s="119">
        <v>1512588.1</v>
      </c>
      <c r="E43" s="173">
        <v>484534</v>
      </c>
      <c r="F43" s="173">
        <v>46000</v>
      </c>
      <c r="G43" s="238">
        <f t="shared" si="0"/>
        <v>530534</v>
      </c>
      <c r="H43" s="167"/>
      <c r="I43" s="221"/>
      <c r="J43" s="124"/>
    </row>
    <row r="44" spans="1:13" ht="13">
      <c r="A44" s="32"/>
      <c r="B44" s="33"/>
      <c r="C44" s="51"/>
      <c r="D44" s="119"/>
      <c r="E44" s="51"/>
      <c r="F44" s="51"/>
      <c r="G44" s="51"/>
      <c r="H44" s="167"/>
      <c r="I44" s="221"/>
      <c r="J44" s="124"/>
    </row>
    <row r="45" spans="1:13" s="22" customFormat="1" ht="13">
      <c r="A45" s="43">
        <v>3</v>
      </c>
      <c r="B45" s="44" t="s">
        <v>94</v>
      </c>
      <c r="C45" s="45" t="s">
        <v>54</v>
      </c>
      <c r="D45" s="112">
        <v>126388.175</v>
      </c>
      <c r="E45" s="112">
        <f>SUM(E46:E47)</f>
        <v>10724</v>
      </c>
      <c r="F45" s="112">
        <f>SUM(F46:F47)</f>
        <v>0</v>
      </c>
      <c r="G45" s="112">
        <f>SUM(E45:F45)</f>
        <v>10724</v>
      </c>
      <c r="H45" s="163">
        <f>D45-G45</f>
        <v>115664.175</v>
      </c>
      <c r="I45" s="221"/>
      <c r="J45" s="113"/>
      <c r="K45" s="17"/>
      <c r="L45" s="17"/>
      <c r="M45" s="17"/>
    </row>
    <row r="46" spans="1:13" ht="13">
      <c r="A46" s="32"/>
      <c r="B46" s="33"/>
      <c r="C46" s="52" t="s">
        <v>46</v>
      </c>
      <c r="D46" s="125">
        <v>102824.5</v>
      </c>
      <c r="E46" s="52"/>
      <c r="F46" s="52"/>
      <c r="G46" s="52"/>
      <c r="H46" s="168"/>
      <c r="I46" s="221"/>
      <c r="J46" s="124"/>
    </row>
    <row r="47" spans="1:13" ht="13">
      <c r="A47" s="32"/>
      <c r="B47" s="33"/>
      <c r="C47" s="52" t="s">
        <v>33</v>
      </c>
      <c r="D47" s="125">
        <v>23563.674999999999</v>
      </c>
      <c r="E47" s="189">
        <v>10724</v>
      </c>
      <c r="F47" s="191">
        <v>0</v>
      </c>
      <c r="G47" s="238">
        <f>E47+F47</f>
        <v>10724</v>
      </c>
      <c r="H47" s="168"/>
      <c r="I47" s="221"/>
      <c r="J47" s="124"/>
    </row>
    <row r="48" spans="1:13" ht="13">
      <c r="A48" s="32"/>
      <c r="B48" s="33"/>
      <c r="C48" s="53"/>
      <c r="D48" s="127"/>
      <c r="E48" s="53"/>
      <c r="F48" s="53"/>
      <c r="G48" s="53"/>
      <c r="H48" s="169"/>
      <c r="I48" s="221"/>
    </row>
    <row r="49" spans="1:13" s="22" customFormat="1" ht="28.9" customHeight="1">
      <c r="A49" s="43">
        <v>4</v>
      </c>
      <c r="B49" s="44" t="s">
        <v>94</v>
      </c>
      <c r="C49" s="45" t="s">
        <v>22</v>
      </c>
      <c r="D49" s="112">
        <v>77331.637499999997</v>
      </c>
      <c r="E49" s="112">
        <f>SUM(E50:E52)</f>
        <v>0</v>
      </c>
      <c r="F49" s="112">
        <f>SUM(F50:F52)</f>
        <v>0</v>
      </c>
      <c r="G49" s="112">
        <f>SUM(E49:F49)</f>
        <v>0</v>
      </c>
      <c r="H49" s="163">
        <f>D49-G49</f>
        <v>77331.637499999997</v>
      </c>
      <c r="I49" s="221"/>
      <c r="J49" s="113"/>
      <c r="K49" s="17"/>
      <c r="L49" s="17"/>
      <c r="M49" s="17"/>
    </row>
    <row r="50" spans="1:13" ht="13">
      <c r="A50" s="32"/>
      <c r="B50" s="33"/>
      <c r="C50" s="52" t="s">
        <v>105</v>
      </c>
      <c r="D50" s="125">
        <v>14245</v>
      </c>
      <c r="E50" s="52"/>
      <c r="F50" s="52"/>
      <c r="G50" s="238">
        <f>E50+F50</f>
        <v>0</v>
      </c>
      <c r="H50" s="168"/>
      <c r="I50" s="221"/>
      <c r="J50" s="124"/>
    </row>
    <row r="51" spans="1:13" ht="13">
      <c r="A51" s="32"/>
      <c r="B51" s="33"/>
      <c r="C51" s="52" t="s">
        <v>83</v>
      </c>
      <c r="D51" s="125">
        <v>12853.0625</v>
      </c>
      <c r="E51" s="52"/>
      <c r="F51" s="52"/>
      <c r="G51" s="238">
        <f>E51+F51</f>
        <v>0</v>
      </c>
      <c r="H51" s="168"/>
      <c r="I51" s="221"/>
      <c r="J51" s="124"/>
    </row>
    <row r="52" spans="1:13" ht="13">
      <c r="A52" s="32"/>
      <c r="B52" s="33"/>
      <c r="C52" s="52" t="s">
        <v>84</v>
      </c>
      <c r="D52" s="125">
        <v>50233.574999999997</v>
      </c>
      <c r="E52" s="52"/>
      <c r="F52" s="52"/>
      <c r="G52" s="238">
        <f>E52+F52</f>
        <v>0</v>
      </c>
      <c r="H52" s="168"/>
      <c r="I52" s="221"/>
      <c r="J52" s="124"/>
    </row>
    <row r="53" spans="1:13" ht="13">
      <c r="A53" s="32"/>
      <c r="B53" s="33"/>
      <c r="C53" s="52"/>
      <c r="D53" s="125"/>
      <c r="E53" s="52"/>
      <c r="F53" s="52"/>
      <c r="G53" s="52"/>
      <c r="H53" s="168"/>
      <c r="I53" s="221"/>
      <c r="J53" s="124"/>
    </row>
    <row r="54" spans="1:13" s="22" customFormat="1" ht="31.15" customHeight="1">
      <c r="A54" s="43">
        <v>5</v>
      </c>
      <c r="B54" s="44" t="s">
        <v>94</v>
      </c>
      <c r="C54" s="45" t="s">
        <v>23</v>
      </c>
      <c r="D54" s="112">
        <v>51412.25</v>
      </c>
      <c r="E54" s="112">
        <f>SUM(E55:E56)</f>
        <v>0</v>
      </c>
      <c r="F54" s="112">
        <f>SUM(F55:F56)</f>
        <v>0</v>
      </c>
      <c r="G54" s="112">
        <f>SUM(E54:F54)</f>
        <v>0</v>
      </c>
      <c r="H54" s="163">
        <f>D54-G54</f>
        <v>51412.25</v>
      </c>
      <c r="I54" s="221"/>
      <c r="J54" s="113"/>
      <c r="K54" s="17"/>
      <c r="L54" s="17"/>
      <c r="M54" s="17"/>
    </row>
    <row r="55" spans="1:13" ht="25">
      <c r="A55" s="32"/>
      <c r="B55" s="33"/>
      <c r="C55" s="52" t="s">
        <v>59</v>
      </c>
      <c r="D55" s="125">
        <v>51412.25</v>
      </c>
      <c r="E55" s="52"/>
      <c r="F55" s="52"/>
      <c r="G55" s="238">
        <f>E55+F55</f>
        <v>0</v>
      </c>
      <c r="H55" s="168"/>
      <c r="I55" s="221"/>
      <c r="J55" s="124"/>
    </row>
    <row r="56" spans="1:13" ht="13">
      <c r="A56" s="32"/>
      <c r="B56" s="33"/>
      <c r="C56" s="52" t="s">
        <v>58</v>
      </c>
      <c r="D56" s="125">
        <v>0</v>
      </c>
      <c r="E56" s="52"/>
      <c r="F56" s="52"/>
      <c r="G56" s="238">
        <f>E56+F56</f>
        <v>0</v>
      </c>
      <c r="H56" s="168"/>
      <c r="I56" s="221"/>
      <c r="J56" s="124"/>
    </row>
    <row r="57" spans="1:13" ht="13">
      <c r="A57" s="32"/>
      <c r="B57" s="33"/>
      <c r="C57" s="52"/>
      <c r="D57" s="125"/>
      <c r="E57" s="52"/>
      <c r="F57" s="52"/>
      <c r="G57" s="238">
        <f>E57+F57</f>
        <v>0</v>
      </c>
      <c r="H57" s="168"/>
      <c r="I57" s="221"/>
      <c r="J57" s="124"/>
    </row>
    <row r="58" spans="1:13" ht="13">
      <c r="A58" s="32"/>
      <c r="B58" s="33"/>
      <c r="C58" s="52"/>
      <c r="D58" s="125"/>
      <c r="E58" s="52"/>
      <c r="F58" s="52"/>
      <c r="G58" s="52"/>
      <c r="H58" s="168"/>
      <c r="I58" s="221"/>
      <c r="J58" s="124"/>
    </row>
    <row r="59" spans="1:13" s="22" customFormat="1" ht="31.9" customHeight="1">
      <c r="A59" s="43">
        <v>6</v>
      </c>
      <c r="B59" s="44" t="s">
        <v>95</v>
      </c>
      <c r="C59" s="45" t="s">
        <v>60</v>
      </c>
      <c r="D59" s="112">
        <v>354830.02500000002</v>
      </c>
      <c r="E59" s="112">
        <f>SUM(E60:E67)</f>
        <v>8095</v>
      </c>
      <c r="F59" s="112">
        <f>SUM(F60:F67)</f>
        <v>2956</v>
      </c>
      <c r="G59" s="112">
        <f>SUM(E59:F59)</f>
        <v>11051</v>
      </c>
      <c r="H59" s="163">
        <f>D59-G59</f>
        <v>343779.02500000002</v>
      </c>
      <c r="I59" s="221"/>
      <c r="J59" s="113"/>
      <c r="K59" s="17"/>
      <c r="L59" s="17"/>
      <c r="M59" s="17"/>
    </row>
    <row r="60" spans="1:13" s="22" customFormat="1" ht="25">
      <c r="A60" s="56"/>
      <c r="B60" s="33"/>
      <c r="C60" s="52" t="s">
        <v>61</v>
      </c>
      <c r="D60" s="125">
        <v>5000</v>
      </c>
      <c r="E60" s="52"/>
      <c r="F60" s="52"/>
      <c r="G60" s="238">
        <f t="shared" ref="G60:G68" si="1">E60+F60</f>
        <v>0</v>
      </c>
      <c r="H60" s="168"/>
      <c r="I60" s="221"/>
      <c r="J60" s="124"/>
      <c r="K60" s="17"/>
      <c r="L60" s="17"/>
      <c r="M60" s="17"/>
    </row>
    <row r="61" spans="1:13" s="22" customFormat="1" ht="22.5" customHeight="1">
      <c r="A61" s="56"/>
      <c r="B61" s="33"/>
      <c r="C61" s="52" t="s">
        <v>86</v>
      </c>
      <c r="D61" s="125">
        <v>70000</v>
      </c>
      <c r="E61" s="189">
        <v>5395</v>
      </c>
      <c r="F61" s="189">
        <v>0</v>
      </c>
      <c r="G61" s="238">
        <f t="shared" si="1"/>
        <v>5395</v>
      </c>
      <c r="H61" s="168"/>
      <c r="I61" s="221"/>
      <c r="J61" s="124"/>
      <c r="K61" s="17"/>
      <c r="L61" s="17"/>
      <c r="M61" s="17"/>
    </row>
    <row r="62" spans="1:13" s="22" customFormat="1" ht="37.5">
      <c r="A62" s="56"/>
      <c r="B62" s="33"/>
      <c r="C62" s="51" t="s">
        <v>62</v>
      </c>
      <c r="D62" s="125">
        <v>61587.25</v>
      </c>
      <c r="E62" s="51"/>
      <c r="F62" s="51"/>
      <c r="G62" s="238">
        <f t="shared" si="1"/>
        <v>0</v>
      </c>
      <c r="H62" s="167"/>
      <c r="I62" s="221"/>
      <c r="J62" s="124"/>
      <c r="K62" s="17"/>
      <c r="L62" s="17"/>
      <c r="M62" s="17"/>
    </row>
    <row r="63" spans="1:13" s="22" customFormat="1" ht="13">
      <c r="A63" s="56"/>
      <c r="B63" s="33"/>
      <c r="C63" s="51" t="s">
        <v>104</v>
      </c>
      <c r="D63" s="125">
        <v>27956.024999999998</v>
      </c>
      <c r="E63" s="51"/>
      <c r="F63" s="51"/>
      <c r="G63" s="238">
        <f t="shared" si="1"/>
        <v>0</v>
      </c>
      <c r="H63" s="167"/>
      <c r="I63" s="221"/>
      <c r="J63" s="124"/>
      <c r="K63" s="17"/>
      <c r="L63" s="17"/>
      <c r="M63" s="17"/>
    </row>
    <row r="64" spans="1:13" ht="13">
      <c r="A64" s="32"/>
      <c r="B64" s="33"/>
      <c r="C64" s="51" t="s">
        <v>106</v>
      </c>
      <c r="D64" s="125">
        <v>102824.5</v>
      </c>
      <c r="E64" s="173">
        <v>2700</v>
      </c>
      <c r="F64" s="173">
        <v>2956</v>
      </c>
      <c r="G64" s="238">
        <f t="shared" si="1"/>
        <v>5656</v>
      </c>
      <c r="H64" s="167"/>
      <c r="I64" s="221"/>
      <c r="J64" s="124"/>
    </row>
    <row r="65" spans="1:13" ht="13">
      <c r="A65" s="32"/>
      <c r="B65" s="33"/>
      <c r="C65" s="51" t="s">
        <v>107</v>
      </c>
      <c r="D65" s="125">
        <v>61587.25</v>
      </c>
      <c r="E65" s="51"/>
      <c r="F65" s="231"/>
      <c r="G65" s="238">
        <f t="shared" si="1"/>
        <v>0</v>
      </c>
      <c r="H65" s="167"/>
      <c r="I65" s="221"/>
      <c r="J65" s="124"/>
    </row>
    <row r="66" spans="1:13" ht="13">
      <c r="A66" s="32"/>
      <c r="B66" s="33"/>
      <c r="C66" s="51" t="s">
        <v>108</v>
      </c>
      <c r="D66" s="125">
        <v>25874.999999999996</v>
      </c>
      <c r="E66" s="51"/>
      <c r="F66" s="51"/>
      <c r="G66" s="238">
        <f t="shared" si="1"/>
        <v>0</v>
      </c>
      <c r="H66" s="167"/>
      <c r="I66" s="221"/>
      <c r="J66" s="124"/>
    </row>
    <row r="67" spans="1:13" s="22" customFormat="1" ht="13">
      <c r="A67" s="56"/>
      <c r="B67" s="33"/>
      <c r="C67" s="51" t="s">
        <v>109</v>
      </c>
      <c r="D67" s="125"/>
      <c r="E67" s="51"/>
      <c r="F67" s="51"/>
      <c r="G67" s="238">
        <f t="shared" si="1"/>
        <v>0</v>
      </c>
      <c r="H67" s="167"/>
      <c r="I67" s="221"/>
      <c r="J67" s="124"/>
      <c r="K67" s="17"/>
      <c r="L67" s="17"/>
      <c r="M67" s="17"/>
    </row>
    <row r="68" spans="1:13" s="22" customFormat="1" ht="13">
      <c r="A68" s="56"/>
      <c r="B68" s="58"/>
      <c r="C68" s="52"/>
      <c r="D68" s="125"/>
      <c r="E68" s="52"/>
      <c r="F68" s="52"/>
      <c r="G68" s="238">
        <f t="shared" si="1"/>
        <v>0</v>
      </c>
      <c r="H68" s="168"/>
      <c r="I68" s="221"/>
      <c r="J68" s="124"/>
      <c r="K68" s="17"/>
      <c r="L68" s="17"/>
      <c r="M68" s="17"/>
    </row>
    <row r="69" spans="1:13" s="22" customFormat="1" ht="28.9" customHeight="1">
      <c r="A69" s="43">
        <v>7</v>
      </c>
      <c r="B69" s="44" t="s">
        <v>96</v>
      </c>
      <c r="C69" s="45" t="s">
        <v>17</v>
      </c>
      <c r="D69" s="112">
        <f>SUM(D70:D76)</f>
        <v>220001.45</v>
      </c>
      <c r="E69" s="112">
        <f>SUM(E70:E76)</f>
        <v>27198</v>
      </c>
      <c r="F69" s="112">
        <f>SUM(F70:F76)</f>
        <v>0</v>
      </c>
      <c r="G69" s="112">
        <f>SUM(E69:F69)</f>
        <v>27198</v>
      </c>
      <c r="H69" s="163">
        <f>D69-G69</f>
        <v>192803.45</v>
      </c>
      <c r="I69" s="221"/>
      <c r="J69" s="113"/>
      <c r="K69" s="17"/>
      <c r="L69" s="17"/>
      <c r="M69" s="17"/>
    </row>
    <row r="70" spans="1:13" ht="13">
      <c r="A70" s="32"/>
      <c r="B70" s="33"/>
      <c r="C70" s="52" t="s">
        <v>87</v>
      </c>
      <c r="D70" s="125">
        <v>148239.20000000001</v>
      </c>
      <c r="E70" s="52"/>
      <c r="F70" s="52"/>
      <c r="G70" s="238">
        <f t="shared" ref="G70:G76" si="2">E70+F70</f>
        <v>0</v>
      </c>
      <c r="H70" s="168"/>
      <c r="I70" s="221"/>
      <c r="J70" s="124"/>
    </row>
    <row r="71" spans="1:13" ht="13">
      <c r="A71" s="32"/>
      <c r="B71" s="33"/>
      <c r="C71" s="52"/>
      <c r="D71" s="125"/>
      <c r="E71" s="52"/>
      <c r="F71" s="52"/>
      <c r="G71" s="238">
        <f t="shared" si="2"/>
        <v>0</v>
      </c>
      <c r="H71" s="168"/>
      <c r="I71" s="221"/>
      <c r="J71" s="124"/>
    </row>
    <row r="72" spans="1:13" ht="13">
      <c r="A72" s="32"/>
      <c r="B72" s="33"/>
      <c r="C72" s="52"/>
      <c r="D72" s="125"/>
      <c r="E72" s="52"/>
      <c r="F72" s="52"/>
      <c r="G72" s="238">
        <f t="shared" si="2"/>
        <v>0</v>
      </c>
      <c r="H72" s="168"/>
      <c r="I72" s="221"/>
      <c r="J72" s="124"/>
    </row>
    <row r="73" spans="1:13" ht="13">
      <c r="A73" s="32"/>
      <c r="B73" s="33"/>
      <c r="C73" s="75" t="s">
        <v>70</v>
      </c>
      <c r="D73" s="128"/>
      <c r="E73" s="75"/>
      <c r="F73" s="75"/>
      <c r="G73" s="238">
        <f t="shared" si="2"/>
        <v>0</v>
      </c>
      <c r="H73" s="170"/>
      <c r="I73" s="221"/>
      <c r="J73" s="113"/>
    </row>
    <row r="74" spans="1:13" ht="13">
      <c r="A74" s="32"/>
      <c r="B74" s="33"/>
      <c r="C74" s="52" t="s">
        <v>67</v>
      </c>
      <c r="D74" s="125">
        <v>31062.25</v>
      </c>
      <c r="E74" s="189">
        <v>10038</v>
      </c>
      <c r="F74" s="189">
        <v>0</v>
      </c>
      <c r="G74" s="238">
        <f t="shared" si="2"/>
        <v>10038</v>
      </c>
      <c r="H74" s="168"/>
      <c r="I74" s="221"/>
      <c r="J74" s="124"/>
    </row>
    <row r="75" spans="1:13" ht="13">
      <c r="A75" s="32"/>
      <c r="B75" s="33"/>
      <c r="C75" s="52" t="s">
        <v>69</v>
      </c>
      <c r="D75" s="125">
        <v>20350</v>
      </c>
      <c r="E75" s="189">
        <v>17160</v>
      </c>
      <c r="F75" s="189">
        <v>0</v>
      </c>
      <c r="G75" s="238">
        <f t="shared" si="2"/>
        <v>17160</v>
      </c>
      <c r="H75" s="168"/>
      <c r="I75" s="221"/>
      <c r="J75" s="124"/>
    </row>
    <row r="76" spans="1:13" ht="13">
      <c r="A76" s="32"/>
      <c r="B76" s="33"/>
      <c r="C76" s="52" t="s">
        <v>68</v>
      </c>
      <c r="D76" s="125">
        <v>20350</v>
      </c>
      <c r="E76" s="52"/>
      <c r="F76" s="52"/>
      <c r="G76" s="238">
        <f t="shared" si="2"/>
        <v>0</v>
      </c>
      <c r="H76" s="168"/>
      <c r="I76" s="221"/>
      <c r="J76" s="124"/>
    </row>
    <row r="77" spans="1:13" ht="13">
      <c r="A77" s="32"/>
      <c r="B77" s="33"/>
      <c r="C77" s="52"/>
      <c r="D77" s="125"/>
      <c r="E77" s="52"/>
      <c r="F77" s="52"/>
      <c r="G77" s="52"/>
      <c r="H77" s="168"/>
      <c r="I77" s="221"/>
      <c r="J77" s="124"/>
    </row>
    <row r="78" spans="1:13" s="22" customFormat="1" ht="28.9" customHeight="1">
      <c r="A78" s="43">
        <v>8</v>
      </c>
      <c r="B78" s="44" t="s">
        <v>97</v>
      </c>
      <c r="C78" s="45" t="s">
        <v>81</v>
      </c>
      <c r="D78" s="112">
        <v>259570.02499999999</v>
      </c>
      <c r="E78" s="112">
        <f>SUM(E79:E82)</f>
        <v>0</v>
      </c>
      <c r="F78" s="112">
        <f>SUM(F79:F82)</f>
        <v>0</v>
      </c>
      <c r="G78" s="112">
        <f>SUM(E78:F78)</f>
        <v>0</v>
      </c>
      <c r="H78" s="163">
        <f>D78-G78</f>
        <v>259570.02499999999</v>
      </c>
      <c r="I78" s="221"/>
      <c r="J78" s="113"/>
      <c r="K78" s="17"/>
      <c r="L78" s="17"/>
      <c r="M78" s="17"/>
    </row>
    <row r="79" spans="1:13" ht="25">
      <c r="A79" s="32"/>
      <c r="B79" s="33"/>
      <c r="C79" s="52" t="s">
        <v>80</v>
      </c>
      <c r="D79" s="125">
        <v>25000</v>
      </c>
      <c r="E79" s="52"/>
      <c r="F79" s="52"/>
      <c r="G79" s="238">
        <f>E79+F79</f>
        <v>0</v>
      </c>
      <c r="H79" s="168"/>
      <c r="I79" s="221"/>
      <c r="J79" s="124"/>
    </row>
    <row r="80" spans="1:13" ht="13">
      <c r="A80" s="32"/>
      <c r="B80" s="33"/>
      <c r="C80" s="51" t="s">
        <v>110</v>
      </c>
      <c r="D80" s="125">
        <v>51412.25</v>
      </c>
      <c r="E80" s="52"/>
      <c r="F80" s="52"/>
      <c r="G80" s="238">
        <f>E80+F80</f>
        <v>0</v>
      </c>
      <c r="H80" s="168"/>
      <c r="I80" s="221"/>
      <c r="J80" s="124"/>
    </row>
    <row r="81" spans="1:13" ht="13">
      <c r="A81" s="32"/>
      <c r="B81" s="33"/>
      <c r="C81" s="51" t="s">
        <v>111</v>
      </c>
      <c r="D81" s="125">
        <v>34168.474999999999</v>
      </c>
      <c r="E81" s="52"/>
      <c r="F81" s="52"/>
      <c r="G81" s="238">
        <f>E81+F81</f>
        <v>0</v>
      </c>
      <c r="H81" s="168"/>
      <c r="I81" s="221"/>
      <c r="J81" s="124"/>
    </row>
    <row r="82" spans="1:13" ht="13">
      <c r="A82" s="32"/>
      <c r="B82" s="33"/>
      <c r="C82" s="52" t="s">
        <v>114</v>
      </c>
      <c r="D82" s="125">
        <v>118464.29999999999</v>
      </c>
      <c r="E82" s="52"/>
      <c r="F82" s="52"/>
      <c r="G82" s="238">
        <f>E82+F82</f>
        <v>0</v>
      </c>
      <c r="H82" s="168"/>
      <c r="I82" s="221"/>
      <c r="J82" s="124"/>
    </row>
    <row r="83" spans="1:13" ht="17.5" customHeight="1">
      <c r="A83" s="32"/>
      <c r="B83" s="33"/>
      <c r="C83" s="52" t="s">
        <v>112</v>
      </c>
      <c r="D83" s="125">
        <v>30525</v>
      </c>
      <c r="E83" s="52"/>
      <c r="F83" s="52"/>
      <c r="G83" s="238">
        <f>E83+F83</f>
        <v>0</v>
      </c>
      <c r="H83" s="168"/>
      <c r="I83" s="221"/>
      <c r="J83" s="124"/>
    </row>
    <row r="84" spans="1:13" s="22" customFormat="1" ht="28.9" customHeight="1">
      <c r="A84" s="43">
        <v>9</v>
      </c>
      <c r="B84" s="44" t="s">
        <v>94</v>
      </c>
      <c r="C84" s="45" t="s">
        <v>57</v>
      </c>
      <c r="D84" s="112">
        <f>SUM(D85:D85)</f>
        <v>205626.21250000037</v>
      </c>
      <c r="E84" s="112">
        <v>0</v>
      </c>
      <c r="F84" s="112">
        <f>SUM(F85)</f>
        <v>0</v>
      </c>
      <c r="G84" s="112">
        <f>SUM(E84:F84)</f>
        <v>0</v>
      </c>
      <c r="H84" s="163">
        <f>D84-G84</f>
        <v>205626.21250000037</v>
      </c>
      <c r="I84" s="221"/>
      <c r="J84" s="113"/>
      <c r="K84" s="17"/>
      <c r="L84" s="17"/>
      <c r="M84" s="17"/>
    </row>
    <row r="85" spans="1:13" ht="28.9" customHeight="1">
      <c r="A85" s="32"/>
      <c r="B85" s="33"/>
      <c r="C85" s="52" t="s">
        <v>88</v>
      </c>
      <c r="D85" s="125">
        <v>205626.21250000037</v>
      </c>
      <c r="E85" s="52"/>
      <c r="F85" s="52"/>
      <c r="G85" s="238">
        <f>E85+F85</f>
        <v>0</v>
      </c>
      <c r="H85" s="168"/>
      <c r="I85" s="221"/>
      <c r="J85" s="124"/>
    </row>
    <row r="86" spans="1:13" ht="45" customHeight="1">
      <c r="A86" s="32"/>
      <c r="B86" s="226" t="s">
        <v>181</v>
      </c>
      <c r="C86" s="227" t="s">
        <v>182</v>
      </c>
      <c r="D86" s="112">
        <f>SUM(D87:D87)</f>
        <v>558000</v>
      </c>
      <c r="E86" s="112">
        <f>SUM(E87:E88)</f>
        <v>563022</v>
      </c>
      <c r="F86" s="112">
        <f>SUM(F87)</f>
        <v>0</v>
      </c>
      <c r="G86" s="112">
        <f>SUM(E86:F86)</f>
        <v>563022</v>
      </c>
      <c r="H86" s="163">
        <f>D86-G86</f>
        <v>-5022</v>
      </c>
      <c r="I86" s="221"/>
      <c r="J86" s="124"/>
    </row>
    <row r="87" spans="1:13" ht="17.5" customHeight="1">
      <c r="A87" s="32"/>
      <c r="B87" s="33"/>
      <c r="C87" s="228" t="s">
        <v>183</v>
      </c>
      <c r="D87" s="127">
        <v>558000</v>
      </c>
      <c r="E87" s="189">
        <v>563022</v>
      </c>
      <c r="F87" s="191">
        <v>0</v>
      </c>
      <c r="G87" s="238">
        <f>E87+F87</f>
        <v>563022</v>
      </c>
      <c r="H87" s="168"/>
      <c r="I87" s="221"/>
      <c r="J87" s="124"/>
    </row>
    <row r="88" spans="1:13" ht="17.5" customHeight="1">
      <c r="A88" s="32"/>
      <c r="B88" s="33"/>
      <c r="C88" s="52"/>
      <c r="D88" s="125"/>
      <c r="E88" s="52"/>
      <c r="F88" s="52"/>
      <c r="G88" s="52"/>
      <c r="H88" s="168"/>
      <c r="I88" s="221"/>
      <c r="J88" s="124"/>
    </row>
    <row r="89" spans="1:13" ht="20.149999999999999" customHeight="1" thickBot="1">
      <c r="A89" s="129"/>
      <c r="B89" s="130"/>
      <c r="C89" s="131" t="s">
        <v>55</v>
      </c>
      <c r="D89" s="148">
        <f>SUM(D84,D86,D78,D69,D59,D54,D49,D45,D37,D30,D27, D13,D19)</f>
        <v>9158000</v>
      </c>
      <c r="E89" s="148">
        <f>SUM(E84,E86,E78,E69,E59,E54,E49,E45,E37,E30,E27, E13,E19)</f>
        <v>2752176.75</v>
      </c>
      <c r="F89" s="148">
        <f>SUM(F84,F86,F78,F69,F59,F54,F49,F45,F37,F30,F27, F13,F19)</f>
        <v>254858.43</v>
      </c>
      <c r="G89" s="148">
        <f>SUM(G84,G86,G78,G69,G59,G54,G49,G45,G37,G30,G27, G13,G19)</f>
        <v>3007035.18</v>
      </c>
      <c r="H89" s="148">
        <f>SUM(H84,H86,H78,H69,H59,H54,H49,H45,H37,H30,H27, H13,H19)</f>
        <v>6150964.8200000003</v>
      </c>
      <c r="I89" s="222"/>
      <c r="J89" s="132"/>
    </row>
    <row r="90" spans="1:13" ht="20.149999999999999" customHeight="1"/>
    <row r="93" spans="1:13" ht="13.5">
      <c r="C93" s="133" t="s">
        <v>134</v>
      </c>
      <c r="D93" s="133"/>
      <c r="E93" s="134"/>
      <c r="F93" s="135"/>
    </row>
    <row r="94" spans="1:13" ht="13.5">
      <c r="C94" s="133"/>
      <c r="D94" s="133"/>
      <c r="E94" s="134"/>
      <c r="F94" s="135"/>
    </row>
    <row r="95" spans="1:13" ht="42" customHeight="1">
      <c r="C95" s="133" t="s">
        <v>135</v>
      </c>
      <c r="D95" s="136"/>
      <c r="E95" s="134"/>
      <c r="F95" s="137"/>
    </row>
    <row r="96" spans="1:13" ht="13.5">
      <c r="C96" s="133"/>
      <c r="D96" s="133"/>
      <c r="E96" s="134"/>
      <c r="F96" s="135"/>
    </row>
    <row r="97" spans="3:8" ht="13.5">
      <c r="C97" s="133" t="s">
        <v>136</v>
      </c>
      <c r="D97" s="133"/>
      <c r="E97" s="134"/>
      <c r="F97" s="135"/>
    </row>
    <row r="98" spans="3:8" ht="15.75" customHeight="1">
      <c r="C98" s="138" t="s">
        <v>152</v>
      </c>
      <c r="D98" s="139"/>
      <c r="E98" s="138" t="s">
        <v>137</v>
      </c>
      <c r="F98" s="180">
        <v>415000</v>
      </c>
    </row>
    <row r="99" spans="3:8" ht="15.75" customHeight="1">
      <c r="C99" s="138" t="s">
        <v>158</v>
      </c>
      <c r="D99" s="139"/>
      <c r="E99" s="138" t="s">
        <v>137</v>
      </c>
      <c r="F99" s="180">
        <v>257250</v>
      </c>
    </row>
    <row r="100" spans="3:8" ht="13.5">
      <c r="C100" s="138" t="s">
        <v>153</v>
      </c>
      <c r="D100" s="139"/>
      <c r="E100" s="138" t="s">
        <v>137</v>
      </c>
      <c r="F100" s="180">
        <v>620.69000000000005</v>
      </c>
    </row>
    <row r="101" spans="3:8" ht="13.5">
      <c r="C101" s="138" t="s">
        <v>178</v>
      </c>
      <c r="D101" s="139"/>
      <c r="E101" s="138" t="s">
        <v>137</v>
      </c>
      <c r="F101" s="181">
        <v>247300</v>
      </c>
    </row>
    <row r="102" spans="3:8" ht="13.5">
      <c r="C102" s="138" t="s">
        <v>179</v>
      </c>
      <c r="D102" s="139"/>
      <c r="E102" s="138" t="s">
        <v>137</v>
      </c>
      <c r="F102" s="181">
        <v>264700</v>
      </c>
    </row>
    <row r="103" spans="3:8" ht="13.5">
      <c r="C103" s="138" t="s">
        <v>180</v>
      </c>
      <c r="D103" s="139"/>
      <c r="E103" s="138" t="s">
        <v>137</v>
      </c>
      <c r="F103" s="181">
        <v>2327.4899999999998</v>
      </c>
    </row>
    <row r="104" spans="3:8" ht="13.5">
      <c r="C104" s="138" t="s">
        <v>184</v>
      </c>
      <c r="D104" s="139"/>
      <c r="E104" s="138" t="s">
        <v>137</v>
      </c>
      <c r="F104" s="181">
        <v>793000</v>
      </c>
    </row>
    <row r="105" spans="3:8" ht="13.5">
      <c r="C105" s="138" t="s">
        <v>185</v>
      </c>
      <c r="D105" s="139"/>
      <c r="E105" s="138"/>
      <c r="F105" s="181">
        <v>519700</v>
      </c>
    </row>
    <row r="106" spans="3:8" ht="13.5">
      <c r="C106" s="138" t="s">
        <v>187</v>
      </c>
      <c r="D106" s="139"/>
      <c r="E106" s="138"/>
      <c r="F106" s="181">
        <v>309100</v>
      </c>
    </row>
    <row r="107" spans="3:8" ht="13.5">
      <c r="C107" s="138" t="s">
        <v>190</v>
      </c>
      <c r="D107" s="139"/>
      <c r="E107" s="138"/>
      <c r="F107" s="181">
        <v>211451</v>
      </c>
    </row>
    <row r="108" spans="3:8" ht="13.5">
      <c r="C108" s="133"/>
      <c r="D108" s="133"/>
      <c r="E108" s="134"/>
      <c r="F108" s="182"/>
      <c r="G108" s="159"/>
      <c r="H108" s="31"/>
    </row>
    <row r="109" spans="3:8" ht="13.5">
      <c r="C109" s="140" t="s">
        <v>138</v>
      </c>
      <c r="D109" s="140"/>
      <c r="E109" s="141"/>
      <c r="F109" s="183">
        <f>SUM(F98:F107)</f>
        <v>3020449.1799999997</v>
      </c>
    </row>
    <row r="110" spans="3:8" ht="13.5">
      <c r="C110" s="133"/>
      <c r="D110" s="133"/>
      <c r="E110" s="134"/>
      <c r="F110" s="182"/>
    </row>
    <row r="111" spans="3:8" ht="13.5">
      <c r="C111" s="133" t="s">
        <v>139</v>
      </c>
      <c r="D111" s="133"/>
      <c r="E111" s="134"/>
      <c r="F111" s="185">
        <f>G89</f>
        <v>3007035.18</v>
      </c>
    </row>
    <row r="112" spans="3:8" ht="13.5">
      <c r="C112" s="133"/>
      <c r="D112" s="133"/>
      <c r="E112" s="134"/>
      <c r="F112" s="138"/>
      <c r="H112" s="184"/>
    </row>
    <row r="113" spans="3:8" ht="13.5">
      <c r="C113" s="140" t="s">
        <v>140</v>
      </c>
      <c r="D113" s="179"/>
      <c r="E113" s="141"/>
      <c r="F113" s="223">
        <f>F109-F111</f>
        <v>13413.999999999534</v>
      </c>
    </row>
    <row r="114" spans="3:8" ht="13.5">
      <c r="C114" s="133"/>
      <c r="D114" s="134"/>
      <c r="E114" s="135"/>
      <c r="F114" s="134"/>
      <c r="H114" s="31"/>
    </row>
    <row r="121" spans="3:8" ht="13">
      <c r="C121" s="22" t="s">
        <v>154</v>
      </c>
      <c r="D121" s="186"/>
      <c r="E121" s="22"/>
      <c r="F121" s="22"/>
      <c r="G121" s="22" t="s">
        <v>156</v>
      </c>
      <c r="H121" s="22"/>
    </row>
    <row r="122" spans="3:8" ht="13">
      <c r="C122" s="22"/>
      <c r="D122" s="186"/>
      <c r="E122" s="22"/>
      <c r="F122" s="22"/>
      <c r="G122" s="22"/>
      <c r="H122" s="22"/>
    </row>
    <row r="123" spans="3:8" ht="13">
      <c r="C123" s="22"/>
      <c r="D123" s="186"/>
      <c r="E123" s="22"/>
      <c r="F123" s="22"/>
      <c r="G123" s="22"/>
      <c r="H123" s="22"/>
    </row>
    <row r="124" spans="3:8" ht="13">
      <c r="C124" s="22"/>
      <c r="D124" s="186"/>
      <c r="E124" s="22"/>
      <c r="F124" s="22"/>
      <c r="G124" s="22"/>
      <c r="H124" s="22"/>
    </row>
    <row r="125" spans="3:8" ht="13">
      <c r="C125" s="22" t="s">
        <v>155</v>
      </c>
      <c r="D125" s="186"/>
      <c r="E125" s="22"/>
      <c r="F125" s="22"/>
      <c r="G125" s="22" t="s">
        <v>176</v>
      </c>
      <c r="H125" s="22"/>
    </row>
    <row r="126" spans="3:8" ht="13">
      <c r="C126" s="22" t="s">
        <v>186</v>
      </c>
      <c r="D126" s="186"/>
      <c r="E126" s="22"/>
      <c r="F126" s="22"/>
      <c r="G126" s="22" t="s">
        <v>177</v>
      </c>
      <c r="H126" s="22"/>
    </row>
    <row r="127" spans="3:8" ht="13">
      <c r="C127" s="22" t="s">
        <v>91</v>
      </c>
      <c r="D127" s="186"/>
      <c r="E127" s="22"/>
      <c r="F127" s="22"/>
      <c r="G127" s="22" t="s">
        <v>91</v>
      </c>
      <c r="H127" s="22"/>
    </row>
    <row r="128" spans="3:8" ht="13">
      <c r="C128" s="22"/>
      <c r="D128" s="186"/>
      <c r="E128" s="22"/>
      <c r="F128" s="22"/>
      <c r="G128" s="22"/>
      <c r="H128" s="22"/>
    </row>
    <row r="129" spans="3:8" ht="13">
      <c r="C129" s="22"/>
      <c r="D129" s="186"/>
      <c r="E129" s="22"/>
      <c r="F129" s="22"/>
      <c r="G129" s="22"/>
      <c r="H129" s="22"/>
    </row>
  </sheetData>
  <mergeCells count="2">
    <mergeCell ref="B1:F1"/>
    <mergeCell ref="A7:B7"/>
  </mergeCells>
  <printOptions horizontalCentered="1"/>
  <pageMargins left="0.5" right="0.2" top="0.5" bottom="0.5" header="0.3" footer="0.3"/>
  <pageSetup paperSize="9" scale="65" orientation="landscape" errors="dash" horizontalDpi="4294967295" verticalDpi="4294967295" r:id="rId1"/>
  <headerFooter>
    <oddFooter>Page &amp;P of &amp;N</oddFooter>
  </headerFooter>
  <rowBreaks count="2" manualBreakCount="2">
    <brk id="48" max="9" man="1"/>
    <brk id="89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P111"/>
  <sheetViews>
    <sheetView showGridLines="0" view="pageBreakPreview" topLeftCell="A76" zoomScale="90" zoomScaleNormal="90" zoomScaleSheetLayoutView="90" workbookViewId="0">
      <selection activeCell="G1" sqref="G1"/>
    </sheetView>
  </sheetViews>
  <sheetFormatPr defaultColWidth="9.1796875" defaultRowHeight="12.5"/>
  <cols>
    <col min="1" max="1" width="6.26953125" style="15" customWidth="1"/>
    <col min="2" max="2" width="16.1796875" style="15" customWidth="1"/>
    <col min="3" max="3" width="52.453125" style="17" bestFit="1" customWidth="1"/>
    <col min="4" max="4" width="12.81640625" style="109" customWidth="1"/>
    <col min="5" max="5" width="24.26953125" style="17" customWidth="1"/>
    <col min="6" max="6" width="18" style="17" customWidth="1"/>
    <col min="7" max="7" width="12.7265625" style="104" customWidth="1"/>
    <col min="8" max="16384" width="9.1796875" style="17"/>
  </cols>
  <sheetData>
    <row r="1" spans="1:16" ht="31.9" customHeight="1">
      <c r="B1" s="513" t="s">
        <v>151</v>
      </c>
      <c r="C1" s="513"/>
      <c r="D1" s="513"/>
      <c r="E1" s="513"/>
      <c r="F1" s="16"/>
      <c r="G1" s="95"/>
    </row>
    <row r="2" spans="1:16" ht="18.75" customHeight="1">
      <c r="B2" s="16"/>
      <c r="C2" s="16"/>
      <c r="D2" s="96"/>
      <c r="E2" s="16"/>
      <c r="F2" s="16"/>
      <c r="G2" s="95"/>
    </row>
    <row r="3" spans="1:16" ht="13">
      <c r="A3" s="19" t="s">
        <v>24</v>
      </c>
      <c r="B3" s="19"/>
      <c r="C3" s="20" t="str">
        <f>'BNWLA_Modification 2'!C3</f>
        <v>BNWLA</v>
      </c>
      <c r="D3" s="97"/>
      <c r="E3" s="98"/>
      <c r="F3" s="98"/>
      <c r="G3" s="99"/>
    </row>
    <row r="4" spans="1:16" ht="13">
      <c r="A4" s="22" t="s">
        <v>115</v>
      </c>
      <c r="B4" s="22"/>
      <c r="C4" s="100" t="str">
        <f>'BNWLA_Modification 2'!C4</f>
        <v>6885-19-A-04</v>
      </c>
      <c r="D4" s="101"/>
      <c r="E4" s="23"/>
      <c r="F4" s="23"/>
      <c r="G4" s="102"/>
    </row>
    <row r="5" spans="1:16" ht="19.5" customHeight="1">
      <c r="A5" s="22" t="s">
        <v>43</v>
      </c>
      <c r="B5" s="22"/>
      <c r="C5" s="514" t="s">
        <v>44</v>
      </c>
      <c r="D5" s="515"/>
      <c r="E5" s="515"/>
      <c r="F5" s="515"/>
      <c r="G5" s="515"/>
    </row>
    <row r="6" spans="1:16" ht="13">
      <c r="A6" s="22" t="s">
        <v>118</v>
      </c>
      <c r="B6" s="22"/>
      <c r="C6" s="94" t="str">
        <f>'BNWLA_Modification 2'!C6</f>
        <v>Cox's Bazar</v>
      </c>
      <c r="D6" s="103"/>
    </row>
    <row r="7" spans="1:16" ht="31.9" customHeight="1">
      <c r="A7" s="479" t="s">
        <v>141</v>
      </c>
      <c r="B7" s="479"/>
      <c r="C7" s="105" t="s">
        <v>120</v>
      </c>
      <c r="D7" s="106" t="s">
        <v>159</v>
      </c>
      <c r="E7" s="105" t="s">
        <v>121</v>
      </c>
      <c r="F7" s="106" t="s">
        <v>160</v>
      </c>
      <c r="G7" s="108"/>
    </row>
    <row r="8" spans="1:16" ht="13">
      <c r="A8" s="22" t="s">
        <v>49</v>
      </c>
      <c r="B8" s="22"/>
      <c r="C8" s="94" t="str">
        <f>'BNWLA_Modification 2'!C8</f>
        <v>30 months</v>
      </c>
      <c r="D8" s="103"/>
      <c r="E8" s="102"/>
      <c r="F8" s="102"/>
      <c r="G8" s="102"/>
    </row>
    <row r="9" spans="1:16" ht="13">
      <c r="A9" s="22"/>
      <c r="B9" s="22"/>
      <c r="C9" s="80"/>
      <c r="D9" s="97"/>
      <c r="E9" s="81"/>
      <c r="F9" s="81"/>
    </row>
    <row r="10" spans="1:16" ht="3.65" customHeight="1" thickBot="1">
      <c r="A10" s="22"/>
      <c r="B10" s="22"/>
    </row>
    <row r="11" spans="1:16" s="15" customFormat="1" ht="26.5" thickBot="1">
      <c r="A11" s="26" t="s">
        <v>21</v>
      </c>
      <c r="B11" s="27" t="s">
        <v>18</v>
      </c>
      <c r="C11" s="28" t="s">
        <v>37</v>
      </c>
      <c r="D11" s="110" t="s">
        <v>122</v>
      </c>
      <c r="E11" s="28" t="s">
        <v>142</v>
      </c>
      <c r="F11" s="178" t="s">
        <v>126</v>
      </c>
      <c r="G11" s="111"/>
      <c r="H11" s="23"/>
      <c r="I11" s="23"/>
      <c r="J11" s="23"/>
      <c r="K11" s="23"/>
      <c r="L11" s="23"/>
      <c r="M11" s="23"/>
      <c r="N11" s="23"/>
      <c r="O11" s="23"/>
      <c r="P11" s="23"/>
    </row>
    <row r="12" spans="1:16" ht="19.149999999999999" customHeight="1" thickBot="1">
      <c r="A12" s="29">
        <v>1</v>
      </c>
      <c r="B12" s="30"/>
      <c r="C12" s="142" t="s">
        <v>45</v>
      </c>
      <c r="D12" s="143" t="s">
        <v>127</v>
      </c>
      <c r="E12" s="144" t="s">
        <v>128</v>
      </c>
      <c r="F12" s="177" t="s">
        <v>131</v>
      </c>
      <c r="G12" s="111"/>
      <c r="H12" s="175"/>
      <c r="I12" s="174"/>
      <c r="J12" s="174"/>
      <c r="K12" s="174"/>
      <c r="L12" s="174"/>
      <c r="M12" s="174"/>
      <c r="N12" s="174"/>
      <c r="O12" s="174"/>
      <c r="P12" s="174"/>
    </row>
    <row r="13" spans="1:16" s="22" customFormat="1" ht="21.65" customHeight="1">
      <c r="A13" s="43" t="s">
        <v>127</v>
      </c>
      <c r="B13" s="44" t="s">
        <v>94</v>
      </c>
      <c r="C13" s="45" t="s">
        <v>29</v>
      </c>
      <c r="D13" s="112">
        <f>SUM(D14:D17)</f>
        <v>3123823.25</v>
      </c>
      <c r="E13" s="112">
        <f>SUM(E14:E17)</f>
        <v>0</v>
      </c>
      <c r="F13" s="176">
        <f>D13-E13</f>
        <v>3123823.25</v>
      </c>
      <c r="G13" s="113"/>
    </row>
    <row r="14" spans="1:16">
      <c r="A14" s="32"/>
      <c r="B14" s="33"/>
      <c r="C14" s="114" t="s">
        <v>132</v>
      </c>
      <c r="D14" s="115">
        <v>1644117.5</v>
      </c>
      <c r="E14" s="114"/>
      <c r="F14" s="146">
        <f>D14-E14</f>
        <v>1644117.5</v>
      </c>
      <c r="G14" s="116"/>
    </row>
    <row r="15" spans="1:16">
      <c r="A15" s="32"/>
      <c r="B15" s="33"/>
      <c r="C15" s="36" t="s">
        <v>133</v>
      </c>
      <c r="D15" s="115">
        <v>164411.75</v>
      </c>
      <c r="E15" s="36"/>
      <c r="F15" s="146">
        <f>D15-E15</f>
        <v>164411.75</v>
      </c>
      <c r="G15" s="118"/>
    </row>
    <row r="16" spans="1:16">
      <c r="A16" s="32"/>
      <c r="B16" s="33"/>
      <c r="C16" s="36" t="s">
        <v>89</v>
      </c>
      <c r="D16" s="115">
        <v>986470.5</v>
      </c>
      <c r="E16" s="36"/>
      <c r="F16" s="146">
        <f>D16-E16</f>
        <v>986470.5</v>
      </c>
      <c r="G16" s="118"/>
    </row>
    <row r="17" spans="1:7">
      <c r="A17" s="32"/>
      <c r="B17" s="33"/>
      <c r="C17" s="36" t="s">
        <v>25</v>
      </c>
      <c r="D17" s="115">
        <v>328823.5</v>
      </c>
      <c r="E17" s="36"/>
      <c r="F17" s="146">
        <f>D17-E17</f>
        <v>328823.5</v>
      </c>
      <c r="G17" s="118"/>
    </row>
    <row r="18" spans="1:7" ht="20.149999999999999" customHeight="1">
      <c r="A18" s="32"/>
      <c r="B18" s="33"/>
      <c r="C18" s="36"/>
      <c r="D18" s="119"/>
      <c r="E18" s="36"/>
      <c r="F18" s="117"/>
      <c r="G18" s="118"/>
    </row>
    <row r="19" spans="1:7" s="22" customFormat="1" ht="21.65" customHeight="1">
      <c r="A19" s="43" t="s">
        <v>128</v>
      </c>
      <c r="B19" s="44" t="s">
        <v>94</v>
      </c>
      <c r="C19" s="45" t="s">
        <v>30</v>
      </c>
      <c r="D19" s="112">
        <f>SUM(D20:D25)</f>
        <v>606523.32499999995</v>
      </c>
      <c r="E19" s="112">
        <f>SUM(E20:E24)</f>
        <v>0</v>
      </c>
      <c r="F19" s="145">
        <f t="shared" ref="F19:F24" si="0">D19-E19</f>
        <v>606523.32499999995</v>
      </c>
      <c r="G19" s="113"/>
    </row>
    <row r="20" spans="1:7">
      <c r="A20" s="32"/>
      <c r="B20" s="33"/>
      <c r="C20" s="36" t="s">
        <v>26</v>
      </c>
      <c r="D20" s="115">
        <v>308473.5</v>
      </c>
      <c r="E20" s="36"/>
      <c r="F20" s="146">
        <f t="shared" si="0"/>
        <v>308473.5</v>
      </c>
      <c r="G20" s="118"/>
    </row>
    <row r="21" spans="1:7">
      <c r="A21" s="32"/>
      <c r="B21" s="33"/>
      <c r="C21" s="36" t="s">
        <v>27</v>
      </c>
      <c r="D21" s="115">
        <v>61694.7</v>
      </c>
      <c r="E21" s="36"/>
      <c r="F21" s="146">
        <f t="shared" si="0"/>
        <v>61694.7</v>
      </c>
      <c r="G21" s="118"/>
    </row>
    <row r="22" spans="1:7">
      <c r="A22" s="32"/>
      <c r="B22" s="33"/>
      <c r="C22" s="36" t="s">
        <v>63</v>
      </c>
      <c r="D22" s="115">
        <v>77118.375</v>
      </c>
      <c r="E22" s="36"/>
      <c r="F22" s="146">
        <f t="shared" si="0"/>
        <v>77118.375</v>
      </c>
      <c r="G22" s="118"/>
    </row>
    <row r="23" spans="1:7">
      <c r="A23" s="32"/>
      <c r="B23" s="33"/>
      <c r="C23" s="36" t="s">
        <v>38</v>
      </c>
      <c r="D23" s="115">
        <v>5000</v>
      </c>
      <c r="E23" s="36"/>
      <c r="F23" s="146">
        <f t="shared" si="0"/>
        <v>5000</v>
      </c>
      <c r="G23" s="118"/>
    </row>
    <row r="24" spans="1:7">
      <c r="A24" s="32"/>
      <c r="B24" s="33"/>
      <c r="C24" s="36" t="s">
        <v>28</v>
      </c>
      <c r="D24" s="115">
        <v>154236.75</v>
      </c>
      <c r="E24" s="36"/>
      <c r="F24" s="146">
        <f t="shared" si="0"/>
        <v>154236.75</v>
      </c>
      <c r="G24" s="118"/>
    </row>
    <row r="25" spans="1:7">
      <c r="A25" s="32"/>
      <c r="B25" s="33"/>
      <c r="C25" s="36"/>
      <c r="D25" s="119"/>
      <c r="E25" s="36"/>
      <c r="F25" s="117"/>
      <c r="G25" s="118"/>
    </row>
    <row r="26" spans="1:7" ht="21" customHeight="1">
      <c r="A26" s="147">
        <v>2</v>
      </c>
      <c r="B26" s="38"/>
      <c r="C26" s="39" t="s">
        <v>52</v>
      </c>
      <c r="D26" s="120"/>
      <c r="E26" s="39"/>
      <c r="F26" s="121"/>
      <c r="G26" s="122"/>
    </row>
    <row r="27" spans="1:7" s="22" customFormat="1" ht="21.65" customHeight="1">
      <c r="A27" s="43" t="s">
        <v>127</v>
      </c>
      <c r="B27" s="44" t="s">
        <v>94</v>
      </c>
      <c r="C27" s="45" t="s">
        <v>66</v>
      </c>
      <c r="D27" s="112">
        <f>SUM(D28)</f>
        <v>30000</v>
      </c>
      <c r="E27" s="112">
        <f>SUM(E28)</f>
        <v>0</v>
      </c>
      <c r="F27" s="145">
        <f>D27-E27</f>
        <v>30000</v>
      </c>
      <c r="G27" s="113"/>
    </row>
    <row r="28" spans="1:7" ht="37.5" customHeight="1">
      <c r="A28" s="32"/>
      <c r="B28" s="33"/>
      <c r="C28" s="36" t="s">
        <v>66</v>
      </c>
      <c r="D28" s="115">
        <v>30000</v>
      </c>
      <c r="E28" s="36"/>
      <c r="F28" s="146">
        <f>D28-E28</f>
        <v>30000</v>
      </c>
      <c r="G28" s="118"/>
    </row>
    <row r="29" spans="1:7">
      <c r="A29" s="32"/>
      <c r="B29" s="33"/>
      <c r="C29" s="36"/>
      <c r="D29" s="115"/>
      <c r="E29" s="36"/>
      <c r="F29" s="117"/>
      <c r="G29" s="118"/>
    </row>
    <row r="30" spans="1:7" s="22" customFormat="1" ht="29.5" customHeight="1">
      <c r="A30" s="43" t="s">
        <v>128</v>
      </c>
      <c r="B30" s="44" t="s">
        <v>94</v>
      </c>
      <c r="C30" s="45" t="s">
        <v>47</v>
      </c>
      <c r="D30" s="112">
        <f>SUM(D31:D35)</f>
        <v>1856942.7249999999</v>
      </c>
      <c r="E30" s="112">
        <f>SUM(E31:E35)</f>
        <v>0</v>
      </c>
      <c r="F30" s="145">
        <f t="shared" ref="F30:F35" si="1">D30-E30</f>
        <v>1856942.7249999999</v>
      </c>
      <c r="G30" s="113"/>
    </row>
    <row r="31" spans="1:7">
      <c r="A31" s="32"/>
      <c r="B31" s="33"/>
      <c r="C31" s="36" t="s">
        <v>82</v>
      </c>
      <c r="D31" s="119">
        <v>0</v>
      </c>
      <c r="E31" s="36"/>
      <c r="F31" s="146">
        <f t="shared" si="1"/>
        <v>0</v>
      </c>
      <c r="G31" s="118"/>
    </row>
    <row r="32" spans="1:7" ht="25">
      <c r="A32" s="32"/>
      <c r="B32" s="33"/>
      <c r="C32" s="36" t="s">
        <v>98</v>
      </c>
      <c r="D32" s="119">
        <v>49323.524999999994</v>
      </c>
      <c r="E32" s="36"/>
      <c r="F32" s="146">
        <f t="shared" si="1"/>
        <v>49323.524999999994</v>
      </c>
      <c r="G32" s="118"/>
    </row>
    <row r="33" spans="1:7">
      <c r="A33" s="32"/>
      <c r="B33" s="33"/>
      <c r="C33" s="36" t="s">
        <v>99</v>
      </c>
      <c r="D33" s="119">
        <v>25706.125</v>
      </c>
      <c r="E33" s="36"/>
      <c r="F33" s="146">
        <f t="shared" si="1"/>
        <v>25706.125</v>
      </c>
      <c r="G33" s="118"/>
    </row>
    <row r="34" spans="1:7">
      <c r="A34" s="32"/>
      <c r="B34" s="33"/>
      <c r="C34" s="36" t="s">
        <v>100</v>
      </c>
      <c r="D34" s="119">
        <v>1627676.325</v>
      </c>
      <c r="E34" s="36"/>
      <c r="F34" s="146">
        <f t="shared" si="1"/>
        <v>1627676.325</v>
      </c>
      <c r="G34" s="118"/>
    </row>
    <row r="35" spans="1:7">
      <c r="A35" s="32"/>
      <c r="B35" s="33"/>
      <c r="C35" s="36" t="s">
        <v>101</v>
      </c>
      <c r="D35" s="119">
        <v>154236.75</v>
      </c>
      <c r="E35" s="36"/>
      <c r="F35" s="146">
        <f t="shared" si="1"/>
        <v>154236.75</v>
      </c>
      <c r="G35" s="118"/>
    </row>
    <row r="36" spans="1:7">
      <c r="A36" s="32"/>
      <c r="B36" s="33"/>
      <c r="C36" s="36"/>
      <c r="D36" s="119"/>
      <c r="E36" s="36"/>
      <c r="F36" s="117"/>
      <c r="G36" s="118"/>
    </row>
    <row r="37" spans="1:7" s="22" customFormat="1" ht="30" customHeight="1">
      <c r="A37" s="43" t="s">
        <v>129</v>
      </c>
      <c r="B37" s="44" t="s">
        <v>94</v>
      </c>
      <c r="C37" s="45" t="s">
        <v>53</v>
      </c>
      <c r="D37" s="112">
        <f>SUM(D38:D43)</f>
        <v>1687550.925</v>
      </c>
      <c r="E37" s="112">
        <f>SUM(E38:E43)</f>
        <v>0</v>
      </c>
      <c r="F37" s="145">
        <f>D37-E37</f>
        <v>1687550.925</v>
      </c>
      <c r="G37" s="113"/>
    </row>
    <row r="38" spans="1:7">
      <c r="A38" s="32"/>
      <c r="B38" s="33"/>
      <c r="C38" s="51" t="s">
        <v>41</v>
      </c>
      <c r="D38" s="119">
        <v>0</v>
      </c>
      <c r="E38" s="51"/>
      <c r="F38" s="146">
        <f t="shared" ref="F38:F43" si="2">D38-E38</f>
        <v>0</v>
      </c>
      <c r="G38" s="124"/>
    </row>
    <row r="39" spans="1:7">
      <c r="A39" s="32"/>
      <c r="B39" s="33"/>
      <c r="C39" s="51" t="s">
        <v>32</v>
      </c>
      <c r="D39" s="119">
        <v>0</v>
      </c>
      <c r="E39" s="51"/>
      <c r="F39" s="146">
        <f t="shared" si="2"/>
        <v>0</v>
      </c>
      <c r="G39" s="124"/>
    </row>
    <row r="40" spans="1:7">
      <c r="A40" s="32"/>
      <c r="B40" s="33"/>
      <c r="C40" s="51" t="s">
        <v>74</v>
      </c>
      <c r="D40" s="119">
        <v>107965.72499999999</v>
      </c>
      <c r="E40" s="51"/>
      <c r="F40" s="146">
        <f t="shared" si="2"/>
        <v>107965.72499999999</v>
      </c>
      <c r="G40" s="124"/>
    </row>
    <row r="41" spans="1:7">
      <c r="A41" s="32"/>
      <c r="B41" s="33"/>
      <c r="C41" s="51" t="s">
        <v>75</v>
      </c>
      <c r="D41" s="119">
        <v>36149.75</v>
      </c>
      <c r="E41" s="51"/>
      <c r="F41" s="146">
        <f t="shared" si="2"/>
        <v>36149.75</v>
      </c>
      <c r="G41" s="124"/>
    </row>
    <row r="42" spans="1:7" ht="25">
      <c r="A42" s="32"/>
      <c r="B42" s="33"/>
      <c r="C42" s="51" t="s">
        <v>102</v>
      </c>
      <c r="D42" s="119">
        <v>30847.35</v>
      </c>
      <c r="E42" s="51"/>
      <c r="F42" s="146">
        <f t="shared" si="2"/>
        <v>30847.35</v>
      </c>
      <c r="G42" s="124"/>
    </row>
    <row r="43" spans="1:7">
      <c r="A43" s="32"/>
      <c r="B43" s="33"/>
      <c r="C43" s="51" t="s">
        <v>103</v>
      </c>
      <c r="D43" s="119">
        <v>1512588.1</v>
      </c>
      <c r="E43" s="51"/>
      <c r="F43" s="146">
        <f t="shared" si="2"/>
        <v>1512588.1</v>
      </c>
      <c r="G43" s="124"/>
    </row>
    <row r="44" spans="1:7">
      <c r="A44" s="32"/>
      <c r="B44" s="33"/>
      <c r="C44" s="51"/>
      <c r="D44" s="119"/>
      <c r="E44" s="51"/>
      <c r="F44" s="123"/>
      <c r="G44" s="124"/>
    </row>
    <row r="45" spans="1:7" s="22" customFormat="1" ht="13">
      <c r="A45" s="43" t="s">
        <v>143</v>
      </c>
      <c r="B45" s="44" t="s">
        <v>94</v>
      </c>
      <c r="C45" s="45" t="s">
        <v>54</v>
      </c>
      <c r="D45" s="112">
        <f>SUM(D46:D47)</f>
        <v>126388.175</v>
      </c>
      <c r="E45" s="112">
        <f>SUM(E46:E47)</f>
        <v>0</v>
      </c>
      <c r="F45" s="145">
        <f>D45-E45</f>
        <v>126388.175</v>
      </c>
      <c r="G45" s="113"/>
    </row>
    <row r="46" spans="1:7">
      <c r="A46" s="32"/>
      <c r="B46" s="33"/>
      <c r="C46" s="52" t="s">
        <v>46</v>
      </c>
      <c r="D46" s="125">
        <v>102824.5</v>
      </c>
      <c r="E46" s="52"/>
      <c r="F46" s="146">
        <f>D46-E46</f>
        <v>102824.5</v>
      </c>
      <c r="G46" s="124"/>
    </row>
    <row r="47" spans="1:7">
      <c r="A47" s="32"/>
      <c r="B47" s="33"/>
      <c r="C47" s="52" t="s">
        <v>33</v>
      </c>
      <c r="D47" s="125">
        <v>23563.674999999999</v>
      </c>
      <c r="E47" s="52"/>
      <c r="F47" s="146">
        <f>D47-E47</f>
        <v>23563.674999999999</v>
      </c>
      <c r="G47" s="124"/>
    </row>
    <row r="48" spans="1:7">
      <c r="A48" s="32"/>
      <c r="B48" s="33"/>
      <c r="C48" s="53"/>
      <c r="D48" s="127"/>
      <c r="E48" s="53"/>
      <c r="F48" s="35"/>
    </row>
    <row r="49" spans="1:7" s="22" customFormat="1" ht="28.9" customHeight="1">
      <c r="A49" s="43" t="s">
        <v>144</v>
      </c>
      <c r="B49" s="44" t="s">
        <v>94</v>
      </c>
      <c r="C49" s="45" t="s">
        <v>22</v>
      </c>
      <c r="D49" s="112">
        <f>SUM(D50:D53)</f>
        <v>77331.637499999997</v>
      </c>
      <c r="E49" s="112">
        <f>SUM(E50:E52)</f>
        <v>0</v>
      </c>
      <c r="F49" s="145">
        <f>D49-E49</f>
        <v>77331.637499999997</v>
      </c>
      <c r="G49" s="113"/>
    </row>
    <row r="50" spans="1:7">
      <c r="A50" s="32"/>
      <c r="B50" s="33"/>
      <c r="C50" s="52" t="s">
        <v>105</v>
      </c>
      <c r="D50" s="125">
        <v>14245</v>
      </c>
      <c r="E50" s="52"/>
      <c r="F50" s="146">
        <f>D50-E50</f>
        <v>14245</v>
      </c>
      <c r="G50" s="124"/>
    </row>
    <row r="51" spans="1:7">
      <c r="A51" s="32"/>
      <c r="B51" s="33"/>
      <c r="C51" s="52" t="s">
        <v>83</v>
      </c>
      <c r="D51" s="125">
        <v>12853.0625</v>
      </c>
      <c r="E51" s="52"/>
      <c r="F51" s="146">
        <f>D51-E51</f>
        <v>12853.0625</v>
      </c>
      <c r="G51" s="124"/>
    </row>
    <row r="52" spans="1:7">
      <c r="A52" s="32"/>
      <c r="B52" s="33"/>
      <c r="C52" s="52" t="s">
        <v>84</v>
      </c>
      <c r="D52" s="125">
        <v>50233.574999999997</v>
      </c>
      <c r="E52" s="52"/>
      <c r="F52" s="146">
        <f>D52-E52</f>
        <v>50233.574999999997</v>
      </c>
      <c r="G52" s="124"/>
    </row>
    <row r="53" spans="1:7">
      <c r="A53" s="32"/>
      <c r="B53" s="33"/>
      <c r="C53" s="52"/>
      <c r="D53" s="125"/>
      <c r="E53" s="52"/>
      <c r="F53" s="126"/>
      <c r="G53" s="124"/>
    </row>
    <row r="54" spans="1:7" s="22" customFormat="1" ht="31.15" customHeight="1">
      <c r="A54" s="43" t="s">
        <v>145</v>
      </c>
      <c r="B54" s="44" t="s">
        <v>94</v>
      </c>
      <c r="C54" s="45" t="s">
        <v>23</v>
      </c>
      <c r="D54" s="112">
        <f>D55</f>
        <v>51412.25</v>
      </c>
      <c r="E54" s="112">
        <f>SUM(E55:E56)</f>
        <v>0</v>
      </c>
      <c r="F54" s="145">
        <f>D54-E54</f>
        <v>51412.25</v>
      </c>
      <c r="G54" s="113"/>
    </row>
    <row r="55" spans="1:7" ht="25">
      <c r="A55" s="32"/>
      <c r="B55" s="33"/>
      <c r="C55" s="52" t="s">
        <v>59</v>
      </c>
      <c r="D55" s="125">
        <v>51412.25</v>
      </c>
      <c r="E55" s="52"/>
      <c r="F55" s="146">
        <f>D55-E55</f>
        <v>51412.25</v>
      </c>
      <c r="G55" s="124"/>
    </row>
    <row r="56" spans="1:7">
      <c r="A56" s="32"/>
      <c r="B56" s="33"/>
      <c r="C56" s="52" t="s">
        <v>58</v>
      </c>
      <c r="D56" s="125">
        <v>0</v>
      </c>
      <c r="E56" s="52"/>
      <c r="F56" s="126"/>
      <c r="G56" s="124"/>
    </row>
    <row r="57" spans="1:7">
      <c r="A57" s="32"/>
      <c r="B57" s="33"/>
      <c r="C57" s="52"/>
      <c r="D57" s="125"/>
      <c r="E57" s="52"/>
      <c r="F57" s="126"/>
      <c r="G57" s="124"/>
    </row>
    <row r="58" spans="1:7">
      <c r="A58" s="32"/>
      <c r="B58" s="33"/>
      <c r="C58" s="52"/>
      <c r="D58" s="125"/>
      <c r="E58" s="52"/>
      <c r="F58" s="126"/>
      <c r="G58" s="124"/>
    </row>
    <row r="59" spans="1:7" s="22" customFormat="1" ht="31.9" customHeight="1">
      <c r="A59" s="43" t="s">
        <v>146</v>
      </c>
      <c r="B59" s="44" t="s">
        <v>95</v>
      </c>
      <c r="C59" s="45" t="s">
        <v>60</v>
      </c>
      <c r="D59" s="112">
        <f>SUM(D60:D67)</f>
        <v>354830.02500000002</v>
      </c>
      <c r="E59" s="112">
        <f>SUM(E60:E67)</f>
        <v>0</v>
      </c>
      <c r="F59" s="145">
        <f>D59-E59</f>
        <v>354830.02500000002</v>
      </c>
      <c r="G59" s="113"/>
    </row>
    <row r="60" spans="1:7" s="22" customFormat="1" ht="25">
      <c r="A60" s="56"/>
      <c r="B60" s="33"/>
      <c r="C60" s="52" t="s">
        <v>61</v>
      </c>
      <c r="D60" s="125">
        <v>5000</v>
      </c>
      <c r="E60" s="52"/>
      <c r="F60" s="146">
        <f t="shared" ref="F60:F67" si="3">D60-E60</f>
        <v>5000</v>
      </c>
      <c r="G60" s="124"/>
    </row>
    <row r="61" spans="1:7" s="22" customFormat="1" ht="13">
      <c r="A61" s="56"/>
      <c r="B61" s="33"/>
      <c r="C61" s="52" t="s">
        <v>86</v>
      </c>
      <c r="D61" s="125">
        <v>70000</v>
      </c>
      <c r="E61" s="52"/>
      <c r="F61" s="146">
        <f t="shared" si="3"/>
        <v>70000</v>
      </c>
      <c r="G61" s="124"/>
    </row>
    <row r="62" spans="1:7" s="22" customFormat="1" ht="37.5">
      <c r="A62" s="56"/>
      <c r="B62" s="33"/>
      <c r="C62" s="51" t="s">
        <v>62</v>
      </c>
      <c r="D62" s="125">
        <v>61587.25</v>
      </c>
      <c r="E62" s="51"/>
      <c r="F62" s="146">
        <f t="shared" si="3"/>
        <v>61587.25</v>
      </c>
      <c r="G62" s="124"/>
    </row>
    <row r="63" spans="1:7" s="22" customFormat="1" ht="13">
      <c r="A63" s="56"/>
      <c r="B63" s="33"/>
      <c r="C63" s="51" t="s">
        <v>104</v>
      </c>
      <c r="D63" s="125">
        <v>27956.024999999998</v>
      </c>
      <c r="E63" s="51"/>
      <c r="F63" s="146">
        <f t="shared" si="3"/>
        <v>27956.024999999998</v>
      </c>
      <c r="G63" s="124"/>
    </row>
    <row r="64" spans="1:7">
      <c r="A64" s="32"/>
      <c r="B64" s="33"/>
      <c r="C64" s="51" t="s">
        <v>106</v>
      </c>
      <c r="D64" s="125">
        <v>102824.5</v>
      </c>
      <c r="E64" s="51"/>
      <c r="F64" s="146">
        <f t="shared" si="3"/>
        <v>102824.5</v>
      </c>
      <c r="G64" s="124"/>
    </row>
    <row r="65" spans="1:7">
      <c r="A65" s="32"/>
      <c r="B65" s="33"/>
      <c r="C65" s="51" t="s">
        <v>107</v>
      </c>
      <c r="D65" s="125">
        <v>61587.25</v>
      </c>
      <c r="E65" s="51"/>
      <c r="F65" s="146">
        <f t="shared" si="3"/>
        <v>61587.25</v>
      </c>
      <c r="G65" s="124"/>
    </row>
    <row r="66" spans="1:7">
      <c r="A66" s="32"/>
      <c r="B66" s="33"/>
      <c r="C66" s="51" t="s">
        <v>108</v>
      </c>
      <c r="D66" s="125">
        <v>25874.999999999996</v>
      </c>
      <c r="E66" s="51"/>
      <c r="F66" s="146">
        <f t="shared" si="3"/>
        <v>25874.999999999996</v>
      </c>
      <c r="G66" s="124"/>
    </row>
    <row r="67" spans="1:7" s="22" customFormat="1" ht="13">
      <c r="A67" s="56"/>
      <c r="B67" s="33"/>
      <c r="C67" s="51" t="s">
        <v>109</v>
      </c>
      <c r="D67" s="125"/>
      <c r="E67" s="51"/>
      <c r="F67" s="146">
        <f t="shared" si="3"/>
        <v>0</v>
      </c>
      <c r="G67" s="124"/>
    </row>
    <row r="68" spans="1:7" s="22" customFormat="1" ht="13">
      <c r="A68" s="56"/>
      <c r="B68" s="58"/>
      <c r="C68" s="52"/>
      <c r="D68" s="125"/>
      <c r="E68" s="52"/>
      <c r="F68" s="126"/>
      <c r="G68" s="124"/>
    </row>
    <row r="69" spans="1:7" s="22" customFormat="1" ht="28.9" customHeight="1">
      <c r="A69" s="43" t="s">
        <v>147</v>
      </c>
      <c r="B69" s="44" t="s">
        <v>96</v>
      </c>
      <c r="C69" s="45" t="s">
        <v>17</v>
      </c>
      <c r="D69" s="112">
        <f>SUM(D70:D76)</f>
        <v>220001.45</v>
      </c>
      <c r="E69" s="112">
        <f>SUM(E70:E76)</f>
        <v>0</v>
      </c>
      <c r="F69" s="145">
        <f>D69-E69</f>
        <v>220001.45</v>
      </c>
      <c r="G69" s="113"/>
    </row>
    <row r="70" spans="1:7">
      <c r="A70" s="32"/>
      <c r="B70" s="33"/>
      <c r="C70" s="52" t="s">
        <v>87</v>
      </c>
      <c r="D70" s="125">
        <v>148239.20000000001</v>
      </c>
      <c r="E70" s="52"/>
      <c r="F70" s="146">
        <f t="shared" ref="F70:F76" si="4">D70-E70</f>
        <v>148239.20000000001</v>
      </c>
      <c r="G70" s="124"/>
    </row>
    <row r="71" spans="1:7">
      <c r="A71" s="32"/>
      <c r="B71" s="33"/>
      <c r="C71" s="52"/>
      <c r="D71" s="125"/>
      <c r="E71" s="52"/>
      <c r="F71" s="146">
        <f t="shared" si="4"/>
        <v>0</v>
      </c>
      <c r="G71" s="124"/>
    </row>
    <row r="72" spans="1:7">
      <c r="A72" s="32"/>
      <c r="B72" s="33"/>
      <c r="C72" s="52"/>
      <c r="D72" s="125"/>
      <c r="E72" s="52"/>
      <c r="F72" s="146">
        <f t="shared" si="4"/>
        <v>0</v>
      </c>
      <c r="G72" s="124"/>
    </row>
    <row r="73" spans="1:7" ht="13">
      <c r="A73" s="32"/>
      <c r="B73" s="33"/>
      <c r="C73" s="75" t="s">
        <v>70</v>
      </c>
      <c r="D73" s="128"/>
      <c r="E73" s="75"/>
      <c r="F73" s="146">
        <f t="shared" si="4"/>
        <v>0</v>
      </c>
      <c r="G73" s="113"/>
    </row>
    <row r="74" spans="1:7">
      <c r="A74" s="32"/>
      <c r="B74" s="33"/>
      <c r="C74" s="52" t="s">
        <v>67</v>
      </c>
      <c r="D74" s="125">
        <v>31062.25</v>
      </c>
      <c r="E74" s="52"/>
      <c r="F74" s="146">
        <f t="shared" si="4"/>
        <v>31062.25</v>
      </c>
      <c r="G74" s="124"/>
    </row>
    <row r="75" spans="1:7">
      <c r="A75" s="32"/>
      <c r="B75" s="33"/>
      <c r="C75" s="52" t="s">
        <v>69</v>
      </c>
      <c r="D75" s="125">
        <v>20350</v>
      </c>
      <c r="E75" s="52"/>
      <c r="F75" s="146">
        <f t="shared" si="4"/>
        <v>20350</v>
      </c>
      <c r="G75" s="124"/>
    </row>
    <row r="76" spans="1:7">
      <c r="A76" s="32"/>
      <c r="B76" s="33"/>
      <c r="C76" s="52" t="s">
        <v>68</v>
      </c>
      <c r="D76" s="125">
        <v>20350</v>
      </c>
      <c r="E76" s="52"/>
      <c r="F76" s="146">
        <f t="shared" si="4"/>
        <v>20350</v>
      </c>
      <c r="G76" s="124"/>
    </row>
    <row r="77" spans="1:7">
      <c r="A77" s="32"/>
      <c r="B77" s="33"/>
      <c r="C77" s="52"/>
      <c r="D77" s="125"/>
      <c r="E77" s="52"/>
      <c r="F77" s="126"/>
      <c r="G77" s="124"/>
    </row>
    <row r="78" spans="1:7" s="22" customFormat="1" ht="28.9" customHeight="1">
      <c r="A78" s="43" t="s">
        <v>148</v>
      </c>
      <c r="B78" s="44" t="s">
        <v>97</v>
      </c>
      <c r="C78" s="45" t="s">
        <v>81</v>
      </c>
      <c r="D78" s="112">
        <f>SUM(D79:D83)</f>
        <v>259570.02499999999</v>
      </c>
      <c r="E78" s="112">
        <f>SUM(E79:E82)</f>
        <v>0</v>
      </c>
      <c r="F78" s="145">
        <f>D78-E78</f>
        <v>259570.02499999999</v>
      </c>
      <c r="G78" s="113"/>
    </row>
    <row r="79" spans="1:7" ht="25">
      <c r="A79" s="32"/>
      <c r="B79" s="33"/>
      <c r="C79" s="52" t="s">
        <v>80</v>
      </c>
      <c r="D79" s="125">
        <v>25000</v>
      </c>
      <c r="E79" s="52"/>
      <c r="F79" s="146">
        <f>D79-E79</f>
        <v>25000</v>
      </c>
      <c r="G79" s="124"/>
    </row>
    <row r="80" spans="1:7">
      <c r="A80" s="32"/>
      <c r="B80" s="33"/>
      <c r="C80" s="51" t="s">
        <v>110</v>
      </c>
      <c r="D80" s="125">
        <v>51412.25</v>
      </c>
      <c r="E80" s="52"/>
      <c r="F80" s="146">
        <f>D80-E80</f>
        <v>51412.25</v>
      </c>
      <c r="G80" s="124"/>
    </row>
    <row r="81" spans="1:8">
      <c r="A81" s="32"/>
      <c r="B81" s="33"/>
      <c r="C81" s="51" t="s">
        <v>111</v>
      </c>
      <c r="D81" s="125">
        <v>34168.474999999999</v>
      </c>
      <c r="E81" s="52"/>
      <c r="F81" s="146">
        <f>D81-E81</f>
        <v>34168.474999999999</v>
      </c>
      <c r="G81" s="124"/>
    </row>
    <row r="82" spans="1:8">
      <c r="A82" s="32"/>
      <c r="B82" s="33"/>
      <c r="C82" s="52" t="s">
        <v>114</v>
      </c>
      <c r="D82" s="125">
        <v>118464.29999999999</v>
      </c>
      <c r="E82" s="52"/>
      <c r="F82" s="146">
        <f>D82-E82</f>
        <v>118464.29999999999</v>
      </c>
      <c r="G82" s="124"/>
    </row>
    <row r="83" spans="1:8" ht="17.5" customHeight="1">
      <c r="A83" s="32"/>
      <c r="B83" s="33"/>
      <c r="C83" s="52" t="s">
        <v>112</v>
      </c>
      <c r="D83" s="125">
        <v>30525</v>
      </c>
      <c r="E83" s="52"/>
      <c r="F83" s="126"/>
      <c r="G83" s="124"/>
    </row>
    <row r="84" spans="1:8" s="22" customFormat="1" ht="28.9" customHeight="1">
      <c r="A84" s="43" t="s">
        <v>149</v>
      </c>
      <c r="B84" s="44" t="s">
        <v>94</v>
      </c>
      <c r="C84" s="45" t="s">
        <v>57</v>
      </c>
      <c r="D84" s="112">
        <v>205626.21250000037</v>
      </c>
      <c r="E84" s="112">
        <f>SUM(E85:E85)</f>
        <v>0</v>
      </c>
      <c r="F84" s="145">
        <f>D84-E84</f>
        <v>205626.21250000037</v>
      </c>
      <c r="G84" s="113"/>
    </row>
    <row r="85" spans="1:8" ht="28.9" customHeight="1">
      <c r="A85" s="32"/>
      <c r="B85" s="33"/>
      <c r="C85" s="52" t="s">
        <v>88</v>
      </c>
      <c r="D85" s="125">
        <v>205626.21250000037</v>
      </c>
      <c r="E85" s="52"/>
      <c r="F85" s="146">
        <f>D85-E85</f>
        <v>205626.21250000037</v>
      </c>
      <c r="G85" s="124"/>
    </row>
    <row r="86" spans="1:8" ht="45.75" customHeight="1">
      <c r="A86" s="32"/>
      <c r="B86" s="226" t="s">
        <v>181</v>
      </c>
      <c r="C86" s="227" t="s">
        <v>182</v>
      </c>
      <c r="D86" s="112">
        <f>SUM(D87:D87)</f>
        <v>558000</v>
      </c>
      <c r="E86" s="112">
        <f>SUM(E87:E88)</f>
        <v>0</v>
      </c>
      <c r="F86" s="145">
        <f>D86-E86</f>
        <v>558000</v>
      </c>
      <c r="G86" s="236"/>
      <c r="H86" s="235"/>
    </row>
    <row r="87" spans="1:8" ht="21.75" customHeight="1">
      <c r="A87" s="32"/>
      <c r="B87" s="33"/>
      <c r="C87" s="228" t="s">
        <v>183</v>
      </c>
      <c r="D87" s="127">
        <v>558000</v>
      </c>
      <c r="E87" s="52"/>
      <c r="F87" s="127">
        <v>558000</v>
      </c>
      <c r="G87" s="124"/>
    </row>
    <row r="88" spans="1:8" ht="17.5" customHeight="1">
      <c r="A88" s="32"/>
      <c r="B88" s="33"/>
      <c r="C88" s="52"/>
      <c r="D88" s="125"/>
      <c r="E88" s="52"/>
      <c r="F88" s="126"/>
      <c r="G88" s="124"/>
    </row>
    <row r="89" spans="1:8" ht="20.149999999999999" customHeight="1" thickBot="1">
      <c r="A89" s="129"/>
      <c r="B89" s="130"/>
      <c r="C89" s="131" t="s">
        <v>55</v>
      </c>
      <c r="D89" s="149">
        <f>SUM(D86,D84,D78,D69,D59,D54,D49,D45,D37,D30,D27, D13,D19)</f>
        <v>9158000</v>
      </c>
      <c r="E89" s="148">
        <f>SUM(E84,E78,E69,E59,E54,E49,E45,E37,E30,E27, E13,E19)</f>
        <v>0</v>
      </c>
      <c r="F89" s="149">
        <f>SUM(F86,F84,F78,F69,F59,F54,F49,F45,F37,F30,F27, F13,F19)</f>
        <v>9158000</v>
      </c>
      <c r="G89" s="132"/>
    </row>
    <row r="90" spans="1:8" ht="20.149999999999999" customHeight="1"/>
    <row r="96" spans="1:8" ht="13.5">
      <c r="C96" s="133"/>
      <c r="D96" s="133"/>
      <c r="E96" s="134"/>
    </row>
    <row r="97" spans="1:7" ht="13">
      <c r="A97" s="512" t="s">
        <v>154</v>
      </c>
      <c r="B97" s="512"/>
      <c r="C97" s="516"/>
      <c r="D97" s="516"/>
      <c r="E97" s="22"/>
      <c r="F97" s="22" t="s">
        <v>156</v>
      </c>
      <c r="G97" s="22"/>
    </row>
    <row r="98" spans="1:7" ht="8.25" customHeight="1">
      <c r="B98" s="229"/>
      <c r="C98" s="516"/>
      <c r="D98" s="516"/>
      <c r="E98" s="22"/>
      <c r="F98" s="22"/>
      <c r="G98" s="22"/>
    </row>
    <row r="99" spans="1:7" ht="13">
      <c r="A99" s="512" t="s">
        <v>155</v>
      </c>
      <c r="B99" s="512"/>
      <c r="C99" s="230"/>
      <c r="D99" s="186"/>
      <c r="E99" s="186"/>
      <c r="F99" s="22" t="s">
        <v>176</v>
      </c>
      <c r="G99" s="22"/>
    </row>
    <row r="100" spans="1:7" ht="13">
      <c r="A100" s="512" t="s">
        <v>157</v>
      </c>
      <c r="B100" s="512"/>
      <c r="C100" s="230"/>
      <c r="E100" s="22"/>
      <c r="F100" s="22" t="s">
        <v>177</v>
      </c>
      <c r="G100" s="22"/>
    </row>
    <row r="101" spans="1:7" ht="13">
      <c r="A101" s="512" t="s">
        <v>91</v>
      </c>
      <c r="B101" s="512"/>
      <c r="C101" s="230"/>
      <c r="E101" s="22"/>
      <c r="F101" s="22" t="s">
        <v>91</v>
      </c>
      <c r="G101" s="22"/>
    </row>
    <row r="102" spans="1:7" ht="13.5">
      <c r="C102" s="133"/>
      <c r="D102" s="133"/>
      <c r="E102" s="134"/>
    </row>
    <row r="103" spans="1:7" ht="13.5">
      <c r="C103" s="133"/>
      <c r="D103" s="133"/>
      <c r="E103" s="134"/>
    </row>
    <row r="104" spans="1:7" ht="13.5">
      <c r="C104" s="133"/>
      <c r="D104" s="133"/>
      <c r="E104" s="134"/>
    </row>
    <row r="105" spans="1:7" ht="13.5">
      <c r="C105" s="133"/>
      <c r="D105" s="133"/>
      <c r="E105" s="134"/>
    </row>
    <row r="106" spans="1:7" ht="13.5">
      <c r="C106" s="133"/>
      <c r="D106" s="133"/>
      <c r="E106" s="134"/>
    </row>
    <row r="107" spans="1:7" ht="13.5">
      <c r="C107" s="133"/>
      <c r="D107" s="133"/>
      <c r="E107" s="134"/>
    </row>
    <row r="108" spans="1:7" ht="13.5">
      <c r="C108" s="133"/>
      <c r="D108" s="133"/>
      <c r="E108" s="134"/>
    </row>
    <row r="109" spans="1:7" ht="13.5">
      <c r="C109" s="133"/>
      <c r="D109" s="133"/>
      <c r="E109" s="134"/>
    </row>
    <row r="110" spans="1:7" ht="13.5">
      <c r="C110" s="133"/>
      <c r="D110" s="133"/>
      <c r="E110" s="134"/>
    </row>
    <row r="111" spans="1:7" ht="13.5">
      <c r="C111" s="133"/>
      <c r="D111" s="134"/>
      <c r="E111" s="135"/>
    </row>
  </sheetData>
  <mergeCells count="8">
    <mergeCell ref="A101:B101"/>
    <mergeCell ref="B1:E1"/>
    <mergeCell ref="C5:G5"/>
    <mergeCell ref="A7:B7"/>
    <mergeCell ref="C97:D98"/>
    <mergeCell ref="A100:B100"/>
    <mergeCell ref="A99:B99"/>
    <mergeCell ref="A97:B97"/>
  </mergeCells>
  <printOptions horizontalCentered="1"/>
  <pageMargins left="0.2" right="0.2" top="0.5" bottom="0.5" header="0.3" footer="0.3"/>
  <pageSetup paperSize="9" scale="77" orientation="landscape" errors="dash" r:id="rId1"/>
  <headerFooter>
    <oddFooter>Page &amp;P of &amp;N</oddFooter>
  </headerFooter>
  <rowBreaks count="1" manualBreakCount="1">
    <brk id="63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2"/>
  <sheetViews>
    <sheetView workbookViewId="0">
      <selection activeCell="B15" sqref="B15"/>
    </sheetView>
  </sheetViews>
  <sheetFormatPr defaultColWidth="9.1796875" defaultRowHeight="20.149999999999999" customHeight="1"/>
  <cols>
    <col min="1" max="1" width="28" style="4" customWidth="1"/>
    <col min="2" max="2" width="8.1796875" style="4" customWidth="1"/>
    <col min="3" max="3" width="8.54296875" style="4" customWidth="1"/>
    <col min="4" max="4" width="15.1796875" style="4" customWidth="1"/>
    <col min="5" max="5" width="14.26953125" style="4" customWidth="1"/>
    <col min="6" max="6" width="16.81640625" style="4" customWidth="1"/>
    <col min="7" max="16384" width="9.1796875" style="4"/>
  </cols>
  <sheetData>
    <row r="2" spans="1:7" ht="20.149999999999999" customHeight="1">
      <c r="A2" s="8" t="s">
        <v>6</v>
      </c>
    </row>
    <row r="3" spans="1:7" ht="25">
      <c r="A3" s="10" t="s">
        <v>2</v>
      </c>
      <c r="B3" s="10" t="s">
        <v>0</v>
      </c>
      <c r="C3" s="10" t="s">
        <v>7</v>
      </c>
      <c r="D3" s="10" t="s">
        <v>8</v>
      </c>
      <c r="E3" s="10" t="s">
        <v>1</v>
      </c>
      <c r="F3" s="10" t="s">
        <v>15</v>
      </c>
      <c r="G3" s="14"/>
    </row>
    <row r="4" spans="1:7" ht="20.149999999999999" customHeight="1">
      <c r="A4" s="11" t="s">
        <v>3</v>
      </c>
      <c r="B4" s="11"/>
      <c r="C4" s="11"/>
      <c r="D4" s="12" t="e">
        <f>'BNWLA_Modification 2'!#REF!+'BNWLA_Modification 2'!#REF!</f>
        <v>#REF!</v>
      </c>
      <c r="E4" s="12" t="e">
        <f>'BNWLA_Modification 2'!#REF!+'BNWLA_Modification 2'!#REF!</f>
        <v>#REF!</v>
      </c>
      <c r="F4" s="12" t="e">
        <f>'BNWLA_Modification 2'!#REF!+'BNWLA_Modification 2'!#REF!</f>
        <v>#REF!</v>
      </c>
    </row>
    <row r="5" spans="1:7" ht="20.149999999999999" customHeight="1">
      <c r="A5" s="3" t="s">
        <v>4</v>
      </c>
      <c r="B5" s="1"/>
      <c r="C5" s="1"/>
      <c r="D5" s="2"/>
      <c r="E5" s="2"/>
      <c r="F5" s="2"/>
    </row>
    <row r="6" spans="1:7" ht="25">
      <c r="A6" s="11" t="s">
        <v>9</v>
      </c>
      <c r="B6" s="11"/>
      <c r="C6" s="11"/>
      <c r="D6" s="12" t="e">
        <f>'BNWLA_Modification 2'!#REF!</f>
        <v>#REF!</v>
      </c>
      <c r="E6" s="12" t="e">
        <f>'BNWLA_Modification 2'!#REF!</f>
        <v>#REF!</v>
      </c>
      <c r="F6" s="2" t="e">
        <f>'BNWLA_Modification 2'!#REF!</f>
        <v>#REF!</v>
      </c>
    </row>
    <row r="7" spans="1:7" ht="20.149999999999999" customHeight="1">
      <c r="A7" s="3" t="s">
        <v>5</v>
      </c>
      <c r="B7" s="1"/>
      <c r="C7" s="1"/>
      <c r="D7" s="2" t="e">
        <f>'BNWLA_Modification 2'!#REF!</f>
        <v>#REF!</v>
      </c>
      <c r="E7" s="2" t="e">
        <f>D7</f>
        <v>#REF!</v>
      </c>
      <c r="F7" s="2"/>
    </row>
    <row r="8" spans="1:7" ht="20.149999999999999" customHeight="1">
      <c r="A8" s="3" t="s">
        <v>10</v>
      </c>
      <c r="B8" s="3"/>
      <c r="C8" s="1"/>
      <c r="D8" s="2" t="e">
        <f>'BNWLA_Modification 2'!#REF!</f>
        <v>#REF!</v>
      </c>
      <c r="E8" s="2" t="e">
        <f>D8</f>
        <v>#REF!</v>
      </c>
      <c r="F8" s="2"/>
    </row>
    <row r="9" spans="1:7" ht="20.149999999999999" customHeight="1">
      <c r="A9" s="11" t="s">
        <v>11</v>
      </c>
      <c r="B9" s="11"/>
      <c r="C9" s="11"/>
      <c r="D9" s="12" t="e">
        <f>'BNWLA_Modification 2'!#REF!</f>
        <v>#REF!</v>
      </c>
      <c r="E9" s="2" t="e">
        <f>D9</f>
        <v>#REF!</v>
      </c>
      <c r="F9" s="12"/>
    </row>
    <row r="10" spans="1:7" ht="20.149999999999999" customHeight="1">
      <c r="A10" s="3" t="s">
        <v>12</v>
      </c>
      <c r="B10" s="1"/>
      <c r="C10" s="1"/>
      <c r="D10" s="2" t="e">
        <f>'BNWLA_Modification 2'!#REF!</f>
        <v>#REF!</v>
      </c>
      <c r="E10" s="2" t="e">
        <f>'BNWLA_Modification 2'!#REF!</f>
        <v>#REF!</v>
      </c>
      <c r="F10" s="2" t="e">
        <f>'BNWLA_Modification 2'!#REF!</f>
        <v>#REF!</v>
      </c>
    </row>
    <row r="11" spans="1:7" ht="20.149999999999999" customHeight="1">
      <c r="A11" s="6" t="s">
        <v>13</v>
      </c>
      <c r="B11" s="10"/>
      <c r="C11" s="10"/>
      <c r="D11" s="13" t="e">
        <f>SUM(D4:D10)</f>
        <v>#REF!</v>
      </c>
      <c r="E11" s="13" t="e">
        <f>SUM(E4:E10)</f>
        <v>#REF!</v>
      </c>
      <c r="F11" s="13" t="e">
        <f>SUM(F4:F10)</f>
        <v>#REF!</v>
      </c>
    </row>
    <row r="12" spans="1:7" ht="20.149999999999999" customHeight="1">
      <c r="A12" s="5" t="s">
        <v>14</v>
      </c>
      <c r="B12" s="7"/>
      <c r="C12" s="7"/>
      <c r="D12" s="9" t="e">
        <f>E12+F12</f>
        <v>#REF!</v>
      </c>
      <c r="E12" s="9" t="e">
        <f>E11/D11</f>
        <v>#REF!</v>
      </c>
      <c r="F12" s="9" t="e">
        <f>F11/D11</f>
        <v>#REF!</v>
      </c>
    </row>
  </sheetData>
  <printOptions horizontalCentered="1"/>
  <pageMargins left="0.45" right="0.45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</vt:i4>
      </vt:variant>
    </vt:vector>
  </HeadingPairs>
  <TitlesOfParts>
    <vt:vector size="24" baseType="lpstr">
      <vt:lpstr>Summary Budget</vt:lpstr>
      <vt:lpstr>Details Budget -District-A</vt:lpstr>
      <vt:lpstr>Details Budget -District-B</vt:lpstr>
      <vt:lpstr>BNWLA_Modification 2</vt:lpstr>
      <vt:lpstr>BNWLA_Modification 1</vt:lpstr>
      <vt:lpstr>Fin Statement_BNWLA</vt:lpstr>
      <vt:lpstr>ATTACHMENT C-Fin Statement</vt:lpstr>
      <vt:lpstr>ATTACHMENT D- Adv Req Form </vt:lpstr>
      <vt:lpstr>Top sheet</vt:lpstr>
      <vt:lpstr>Fund Reconciliation</vt:lpstr>
      <vt:lpstr>'ATTACHMENT C-Fin Statement'!Print_Area</vt:lpstr>
      <vt:lpstr>'ATTACHMENT D- Adv Req Form '!Print_Area</vt:lpstr>
      <vt:lpstr>'BNWLA_Modification 1'!Print_Area</vt:lpstr>
      <vt:lpstr>'BNWLA_Modification 2'!Print_Area</vt:lpstr>
      <vt:lpstr>'Details Budget -District-A'!Print_Area</vt:lpstr>
      <vt:lpstr>'Details Budget -District-B'!Print_Area</vt:lpstr>
      <vt:lpstr>'Fin Statement_BNWLA'!Print_Area</vt:lpstr>
      <vt:lpstr>'ATTACHMENT C-Fin Statement'!Print_Titles</vt:lpstr>
      <vt:lpstr>'ATTACHMENT D- Adv Req Form '!Print_Titles</vt:lpstr>
      <vt:lpstr>'BNWLA_Modification 1'!Print_Titles</vt:lpstr>
      <vt:lpstr>'BNWLA_Modification 2'!Print_Titles</vt:lpstr>
      <vt:lpstr>'Details Budget -District-A'!Print_Titles</vt:lpstr>
      <vt:lpstr>'Details Budget -District-B'!Print_Titles</vt:lpstr>
      <vt:lpstr>'Fin Statement_BNWLA'!Print_Titles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Kushal.Banik@winrock.org</dc:creator>
  <cp:lastModifiedBy>Gomes, Swapan</cp:lastModifiedBy>
  <cp:lastPrinted>2023-07-09T12:04:17Z</cp:lastPrinted>
  <dcterms:created xsi:type="dcterms:W3CDTF">1996-10-14T23:33:28Z</dcterms:created>
  <dcterms:modified xsi:type="dcterms:W3CDTF">2023-07-30T11:22:16Z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d367d-9e3b-49e5-aa9a-caafdafee3aa_Enabled">
    <vt:lpwstr>true</vt:lpwstr>
  </property>
  <property fmtid="{D5CDD505-2E9C-101B-9397-08002B2CF9AE}" pid="3" name="MSIP_Label_65bd367d-9e3b-49e5-aa9a-caafdafee3aa_SetDate">
    <vt:lpwstr>2022-01-10T09:03:14Z</vt:lpwstr>
  </property>
  <property fmtid="{D5CDD505-2E9C-101B-9397-08002B2CF9AE}" pid="4" name="MSIP_Label_65bd367d-9e3b-49e5-aa9a-caafdafee3aa_Method">
    <vt:lpwstr>Standard</vt:lpwstr>
  </property>
  <property fmtid="{D5CDD505-2E9C-101B-9397-08002B2CF9AE}" pid="5" name="MSIP_Label_65bd367d-9e3b-49e5-aa9a-caafdafee3aa_Name">
    <vt:lpwstr>65bd367d-9e3b-49e5-aa9a-caafdafee3aa</vt:lpwstr>
  </property>
  <property fmtid="{D5CDD505-2E9C-101B-9397-08002B2CF9AE}" pid="6" name="MSIP_Label_65bd367d-9e3b-49e5-aa9a-caafdafee3aa_SiteId">
    <vt:lpwstr>9be3e276-28d8-4cd8-8f84-02cf1911da9c</vt:lpwstr>
  </property>
  <property fmtid="{D5CDD505-2E9C-101B-9397-08002B2CF9AE}" pid="7" name="MSIP_Label_65bd367d-9e3b-49e5-aa9a-caafdafee3aa_ActionId">
    <vt:lpwstr>c1f3c5e8-47a5-44c6-9bd0-b023f8153c6e</vt:lpwstr>
  </property>
  <property fmtid="{D5CDD505-2E9C-101B-9397-08002B2CF9AE}" pid="8" name="MSIP_Label_65bd367d-9e3b-49e5-aa9a-caafdafee3aa_ContentBits">
    <vt:lpwstr>0</vt:lpwstr>
  </property>
</Properties>
</file>